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Martina/Desktop/EGPAF_UNITAID/PROJECT IMPLEMENTATION/GF_CDC_USAID_UNICEF_Sustainability WG/Work on costed interventions/Final version March 2nd 2020/"/>
    </mc:Choice>
  </mc:AlternateContent>
  <xr:revisionPtr revIDLastSave="0" documentId="13_ncr:1_{AE2B0058-CEC9-914C-A021-2788657289B0}" xr6:coauthVersionLast="45" xr6:coauthVersionMax="45" xr10:uidLastSave="{00000000-0000-0000-0000-000000000000}"/>
  <bookViews>
    <workbookView xWindow="1200" yWindow="4000" windowWidth="28800" windowHeight="16180" tabRatio="857" xr2:uid="{00000000-000D-0000-FFFF-FFFF00000000}"/>
  </bookViews>
  <sheets>
    <sheet name="1. Title page" sheetId="20" r:id="rId1"/>
    <sheet name="2. Menu" sheetId="3" r:id="rId2"/>
    <sheet name="3. Guide" sheetId="1" r:id="rId3"/>
    <sheet name="4. Parameters" sheetId="2" r:id="rId4"/>
    <sheet name="5. Unit costs" sheetId="14" r:id="rId5"/>
    <sheet name="6. Training materials" sheetId="4" r:id="rId6"/>
    <sheet name="7. Training programme" sheetId="12" r:id="rId7"/>
    <sheet name="8.Site mentorship &amp; supervision" sheetId="9" r:id="rId8"/>
    <sheet name="9. Results Summary" sheetId="13" r:id="rId9"/>
    <sheet name="10. Notes &amp; Assumptions" sheetId="23" r:id="rId10"/>
    <sheet name="11. References" sheetId="22" r:id="rId11"/>
  </sheets>
  <externalReferences>
    <externalReference r:id="rId12"/>
    <externalReference r:id="rId13"/>
  </externalReferences>
  <definedNames>
    <definedName name="_arr_population">[1]_pop!$A$1:$AG$220</definedName>
    <definedName name="_CountryName">[1]Welcome!$G$9</definedName>
    <definedName name="_xch" localSheetId="9">'[2]4. Parameters'!$B$13</definedName>
    <definedName name="_xch" localSheetId="10">'[2]4. Parameters'!$B$13</definedName>
    <definedName name="_xch">'4. Parameters'!$B$13</definedName>
    <definedName name="airfare_mentorship" localSheetId="9">'[2]5. Unit costs'!$I$44</definedName>
    <definedName name="airfare_mentorship" localSheetId="10">'[2]5. Unit costs'!$I$44</definedName>
    <definedName name="airfare_mentorship">'5. Unit costs'!$H$44</definedName>
    <definedName name="airfare_mentorship_OOV" localSheetId="9">'[2]5. Unit costs'!#REF!</definedName>
    <definedName name="airfare_mentorship_OOV" localSheetId="10">'[2]5. Unit costs'!#REF!</definedName>
    <definedName name="airfare_mentorship_OOV">'5. Unit costs'!#REF!</definedName>
    <definedName name="airfare_MoH_trainers_onsite_training" localSheetId="9">'[2]5. Unit costs'!$I$94</definedName>
    <definedName name="airfare_MoH_trainers_onsite_training" localSheetId="10">'[2]5. Unit costs'!$I$94</definedName>
    <definedName name="airfare_MoH_trainers_onsite_training">'5. Unit costs'!$H$94</definedName>
    <definedName name="airtime_mentorship" localSheetId="9">'[2]5. Unit costs'!$I$53</definedName>
    <definedName name="airtime_mentorship" localSheetId="10">'[2]5. Unit costs'!$I$53</definedName>
    <definedName name="airtime_mentorship">'5. Unit costs'!$H$53</definedName>
    <definedName name="consultant_fee_training_materials" localSheetId="9">'[2]5. Unit costs'!$I$25</definedName>
    <definedName name="consultant_fee_training_materials" localSheetId="10">'[2]5. Unit costs'!$I$25</definedName>
    <definedName name="consultant_fee_training_materials">'5. Unit costs'!$H$25</definedName>
    <definedName name="Country">'5. Unit costs'!$B$4</definedName>
    <definedName name="country_name" localSheetId="9">'[2]4. Parameters'!$B$5</definedName>
    <definedName name="country_name" localSheetId="10">'[2]4. Parameters'!$B$5</definedName>
    <definedName name="country_name">'4. Parameters'!$B$5</definedName>
    <definedName name="currency" localSheetId="9">'[2]4. Parameters'!$B$11</definedName>
    <definedName name="currency" localSheetId="10">'[2]4. Parameters'!$B$11</definedName>
    <definedName name="currency">'4. Parameters'!$B$11</definedName>
    <definedName name="districts_number">'4. Parameters'!$B$7</definedName>
    <definedName name="exchange_rates" localSheetId="9">[2]Cost_data!$H$11:$Q$12</definedName>
    <definedName name="exchange_rates" localSheetId="10">[2]Cost_data!$H$11:$Q$12</definedName>
    <definedName name="exchange_rates">#REF!</definedName>
    <definedName name="facilitation_fee_central_ToT" localSheetId="9">'[2]5. Unit costs'!$I$59</definedName>
    <definedName name="facilitation_fee_central_ToT" localSheetId="10">'[2]5. Unit costs'!$I$59</definedName>
    <definedName name="facilitation_fee_central_ToT">'5. Unit costs'!$H$59</definedName>
    <definedName name="Factsheet" localSheetId="9">[2]Factsheet!$G$2:$AR$101</definedName>
    <definedName name="Factsheet" localSheetId="10">[2]Factsheet!$G$2:$AR$101</definedName>
    <definedName name="Factsheet">#REF!</definedName>
    <definedName name="hotel_cost_central_ToT" localSheetId="9">'[2]5. Unit costs'!$I$67</definedName>
    <definedName name="hotel_cost_central_ToT" localSheetId="10">'[2]5. Unit costs'!$I$67</definedName>
    <definedName name="hotel_cost_central_ToT">'5. Unit costs'!$H$67</definedName>
    <definedName name="hotel_cost_onsite_training">'5. Unit costs'!$H$100</definedName>
    <definedName name="hotel_cost_regional_ToT" localSheetId="9">'[2]5. Unit costs'!$I$82</definedName>
    <definedName name="hotel_cost_regional_ToT" localSheetId="10">'[2]5. Unit costs'!$I$82</definedName>
    <definedName name="hotel_cost_regional_ToT">'5. Unit costs'!$H$82</definedName>
    <definedName name="hotel_mentorship" localSheetId="9">'[2]5. Unit costs'!$I$46</definedName>
    <definedName name="hotel_mentorship" localSheetId="10">'[2]5. Unit costs'!$I$46</definedName>
    <definedName name="hotel_mentorship">'5. Unit costs'!$H$46</definedName>
    <definedName name="hotel_ms_v" localSheetId="9">'[2]5. Unit costs'!#REF!</definedName>
    <definedName name="hotel_ms_v" localSheetId="10">'[2]5. Unit costs'!#REF!</definedName>
    <definedName name="hotel_ms_v">'5. Unit costs'!#REF!</definedName>
    <definedName name="hotel_workshop_materials">'5. Unit costs'!$H$32</definedName>
    <definedName name="hr_time_retraining_materials_onsite" localSheetId="9">'[2]4. Parameters'!#REF!</definedName>
    <definedName name="hr_time_retraining_materials_onsite" localSheetId="10">'[2]4. Parameters'!#REF!</definedName>
    <definedName name="hr_time_retraining_materials_onsite">'4. Parameters'!#REF!</definedName>
    <definedName name="hr_time_training_materials" localSheetId="9">'[2]4. Parameters'!$C$18</definedName>
    <definedName name="hr_time_training_materials" localSheetId="10">'[2]4. Parameters'!$C$18</definedName>
    <definedName name="hr_time_training_materials">'4. Parameters'!$C$18</definedName>
    <definedName name="hr_time_training_materials_onsite" localSheetId="9">'[2]4. Parameters'!#REF!</definedName>
    <definedName name="hr_time_training_materials_onsite" localSheetId="10">'[2]4. Parameters'!#REF!</definedName>
    <definedName name="hr_time_training_materials_onsite">'4. Parameters'!#REF!</definedName>
    <definedName name="hr_time_training_materials_tot_c" localSheetId="9">'[2]4. Parameters'!#REF!</definedName>
    <definedName name="hr_time_training_materials_tot_c" localSheetId="10">'[2]4. Parameters'!#REF!</definedName>
    <definedName name="hr_time_training_materials_tot_c">'4. Parameters'!#REF!</definedName>
    <definedName name="hr_time_training_materials_tot_c_refresher" localSheetId="9">'[2]4. Parameters'!#REF!</definedName>
    <definedName name="hr_time_training_materials_tot_c_refresher" localSheetId="10">'[2]4. Parameters'!#REF!</definedName>
    <definedName name="hr_time_training_materials_tot_c_refresher">'4. Parameters'!#REF!</definedName>
    <definedName name="hr_time_training_materials_tot_r" localSheetId="9">'[2]4. Parameters'!#REF!</definedName>
    <definedName name="hr_time_training_materials_tot_r" localSheetId="10">'[2]4. Parameters'!#REF!</definedName>
    <definedName name="hr_time_training_materials_tot_r">'4. Parameters'!#REF!</definedName>
    <definedName name="international_travel_central_ToT" localSheetId="9">'[2]5. Unit costs'!$I$64</definedName>
    <definedName name="international_travel_central_ToT" localSheetId="10">'[2]5. Unit costs'!$I$64</definedName>
    <definedName name="international_travel_central_ToT">'5. Unit costs'!$H$64</definedName>
    <definedName name="local_currency" localSheetId="9">'[2]4. Parameters'!$B$12</definedName>
    <definedName name="local_currency" localSheetId="10">'[2]4. Parameters'!$B$12</definedName>
    <definedName name="local_currency">'4. Parameters'!$B$12</definedName>
    <definedName name="lunch_mentorship" localSheetId="9">'[2]5. Unit costs'!$I$51</definedName>
    <definedName name="lunch_mentorship" localSheetId="10">'[2]5. Unit costs'!$I$51</definedName>
    <definedName name="lunch_mentorship">'5. Unit costs'!$H$51</definedName>
    <definedName name="lunch_mentorship_OOV" localSheetId="9">'[2]5. Unit costs'!#REF!</definedName>
    <definedName name="lunch_mentorship_OOV" localSheetId="10">'[2]5. Unit costs'!#REF!</definedName>
    <definedName name="lunch_mentorship_OOV">'5. Unit costs'!#REF!</definedName>
    <definedName name="lunch_regional_ToT" localSheetId="9">'[2]5. Unit costs'!$I$83</definedName>
    <definedName name="lunch_regional_ToT" localSheetId="10">'[2]5. Unit costs'!$I$83</definedName>
    <definedName name="lunch_regional_ToT">'5. Unit costs'!$H$83</definedName>
    <definedName name="m_e_fees">'5. Unit costs'!$H$49</definedName>
    <definedName name="nr_consultants" localSheetId="9">'[2]4. Parameters'!$C$19</definedName>
    <definedName name="nr_consultants" localSheetId="10">'[2]4. Parameters'!$C$19</definedName>
    <definedName name="nr_consultants">'4. Parameters'!$C$19</definedName>
    <definedName name="nr_days_district_m_s" localSheetId="9">'[2]4. Parameters'!$C$95</definedName>
    <definedName name="nr_days_district_m_s" localSheetId="10">'[2]4. Parameters'!$C$95</definedName>
    <definedName name="nr_days_district_m_s">'4. Parameters'!$C$95</definedName>
    <definedName name="nr_days_facility_m_s" localSheetId="9">'[2]4. Parameters'!$C$107</definedName>
    <definedName name="nr_days_facility_m_s" localSheetId="10">'[2]4. Parameters'!$C$107</definedName>
    <definedName name="nr_days_facility_m_s">'4. Parameters'!$C$107</definedName>
    <definedName name="nr_days_m_s_once" localSheetId="9">'[2]4. Parameters'!#REF!</definedName>
    <definedName name="nr_days_m_s_once" localSheetId="10">'[2]4. Parameters'!#REF!</definedName>
    <definedName name="nr_days_m_s_once">'4. Parameters'!#REF!</definedName>
    <definedName name="nr_days_per_retraining_onsite" localSheetId="9">'[2]4. Parameters'!#REF!</definedName>
    <definedName name="nr_days_per_retraining_onsite" localSheetId="10">'[2]4. Parameters'!#REF!</definedName>
    <definedName name="nr_days_per_retraining_onsite">'4. Parameters'!#REF!</definedName>
    <definedName name="nr_days_per_session_onsite" localSheetId="9">'[2]4. Parameters'!$C$70</definedName>
    <definedName name="nr_days_per_session_onsite" localSheetId="10">'[2]4. Parameters'!$C$70</definedName>
    <definedName name="nr_days_per_session_onsite">'4. Parameters'!$C$70</definedName>
    <definedName name="nr_days_per_session_tot_c" localSheetId="9">'[2]4. Parameters'!$C$33</definedName>
    <definedName name="nr_days_per_session_tot_c" localSheetId="10">'[2]4. Parameters'!$C$33</definedName>
    <definedName name="nr_days_per_session_tot_c">'4. Parameters'!$C$33</definedName>
    <definedName name="nr_days_per_session_tot_c_refresher" localSheetId="9">'[2]4. Parameters'!$C$44</definedName>
    <definedName name="nr_days_per_session_tot_c_refresher" localSheetId="10">'[2]4. Parameters'!$C$44</definedName>
    <definedName name="nr_days_per_session_tot_c_refresher">'4. Parameters'!$C$44</definedName>
    <definedName name="nr_days_per_session_tot_r" localSheetId="9">'[2]4. Parameters'!$C$56</definedName>
    <definedName name="nr_days_per_session_tot_r" localSheetId="10">'[2]4. Parameters'!$C$56</definedName>
    <definedName name="nr_days_per_session_tot_r">'4. Parameters'!$C$56</definedName>
    <definedName name="nr_days_regional_m_s" localSheetId="9">'[2]4. Parameters'!$C$84</definedName>
    <definedName name="nr_days_regional_m_s" localSheetId="10">'[2]4. Parameters'!$C$84</definedName>
    <definedName name="nr_days_regional_m_s">'4. Parameters'!$C$84</definedName>
    <definedName name="nr_days_workshop_draft" localSheetId="9">'[2]4. Parameters'!$C$24</definedName>
    <definedName name="nr_days_workshop_draft" localSheetId="10">'[2]4. Parameters'!$C$24</definedName>
    <definedName name="nr_days_workshop_draft">'4. Parameters'!$C$24</definedName>
    <definedName name="nr_days_workshop_finalize" localSheetId="9">'[2]4. Parameters'!$C$26</definedName>
    <definedName name="nr_days_workshop_finalize" localSheetId="10">'[2]4. Parameters'!$C$26</definedName>
    <definedName name="nr_days_workshop_finalize">'4. Parameters'!$C$26</definedName>
    <definedName name="nr_days_workshop_validate" localSheetId="9">'[2]4. Parameters'!$C$28</definedName>
    <definedName name="nr_days_workshop_validate" localSheetId="10">'[2]4. Parameters'!$C$28</definedName>
    <definedName name="nr_days_workshop_validate">'4. Parameters'!$C$28</definedName>
    <definedName name="nr_dist_m_s_once" localSheetId="9">'[2]4. Parameters'!#REF!</definedName>
    <definedName name="nr_dist_m_s_once" localSheetId="10">'[2]4. Parameters'!#REF!</definedName>
    <definedName name="nr_dist_m_s_once">'4. Parameters'!#REF!</definedName>
    <definedName name="nr_district_staff_facility_m_s" localSheetId="9">'[2]4. Parameters'!$C$108</definedName>
    <definedName name="nr_district_staff_facility_m_s" localSheetId="10">'[2]4. Parameters'!$C$108</definedName>
    <definedName name="nr_district_staff_facility_m_s">'4. Parameters'!$C$108</definedName>
    <definedName name="nr_district_staff_m_s">'4. Parameters'!$C$84</definedName>
    <definedName name="nr_districts_district_m_s" localSheetId="9">'[2]4. Parameters'!$C$93</definedName>
    <definedName name="nr_districts_district_m_s" localSheetId="10">'[2]4. Parameters'!$C$93</definedName>
    <definedName name="nr_districts_district_m_s">'4. Parameters'!$C$93</definedName>
    <definedName name="nr_districts_facility_m_s" localSheetId="9">'[2]4. Parameters'!$C$104</definedName>
    <definedName name="nr_districts_facility_m_s" localSheetId="10">'[2]4. Parameters'!$C$104</definedName>
    <definedName name="nr_districts_facility_m_s">'4. Parameters'!$C$104</definedName>
    <definedName name="nr_districts_to_be_retrained" localSheetId="9">'[2]4. Parameters'!#REF!</definedName>
    <definedName name="nr_districts_to_be_retrained" localSheetId="10">'[2]4. Parameters'!#REF!</definedName>
    <definedName name="nr_districts_to_be_retrained">'4. Parameters'!#REF!</definedName>
    <definedName name="nr_districts_to_be_trained" localSheetId="9">'[2]4. Parameters'!$C$67</definedName>
    <definedName name="nr_districts_to_be_trained" localSheetId="10">'[2]4. Parameters'!$C$67</definedName>
    <definedName name="nr_districts_to_be_trained">'4. Parameters'!$C$67</definedName>
    <definedName name="nr_districts_tot_r" localSheetId="9">'[2]4. Parameters'!$C$54</definedName>
    <definedName name="nr_districts_tot_r" localSheetId="10">'[2]4. Parameters'!$C$54</definedName>
    <definedName name="nr_districts_tot_r">'4. Parameters'!$C$54</definedName>
    <definedName name="nr_egpaf_trainers_onsite_retraining" localSheetId="9">'[2]4. Parameters'!#REF!</definedName>
    <definedName name="nr_egpaf_trainers_onsite_retraining" localSheetId="10">'[2]4. Parameters'!#REF!</definedName>
    <definedName name="nr_egpaf_trainers_onsite_retraining">'4. Parameters'!#REF!</definedName>
    <definedName name="nr_faciliators_hotel_tot_c" localSheetId="9">'[2]4. Parameters'!$C$37</definedName>
    <definedName name="nr_faciliators_hotel_tot_c" localSheetId="10">'[2]4. Parameters'!$C$37</definedName>
    <definedName name="nr_faciliators_hotel_tot_c">'4. Parameters'!$C$37</definedName>
    <definedName name="nr_faciliators_hotel_tot_c_refresher" localSheetId="9">'[2]4. Parameters'!$C$50</definedName>
    <definedName name="nr_faciliators_hotel_tot_c_refresher" localSheetId="10">'[2]4. Parameters'!$C$50</definedName>
    <definedName name="nr_faciliators_hotel_tot_c_refresher">'4. Parameters'!$C$50</definedName>
    <definedName name="nr_faciliators_hotel_tot_r" localSheetId="9">'[2]4. Parameters'!$C$62</definedName>
    <definedName name="nr_faciliators_hotel_tot_r" localSheetId="10">'[2]4. Parameters'!$C$62</definedName>
    <definedName name="nr_faciliators_hotel_tot_r">'4. Parameters'!$C$62</definedName>
    <definedName name="nr_faciliators_tot_c" localSheetId="9">'[2]4. Parameters'!$C$36</definedName>
    <definedName name="nr_faciliators_tot_c" localSheetId="10">'[2]4. Parameters'!$C$36</definedName>
    <definedName name="nr_faciliators_tot_c">'4. Parameters'!$C$36</definedName>
    <definedName name="nr_faciliators_tot_c_refresher" localSheetId="9">'[2]4. Parameters'!$C$47</definedName>
    <definedName name="nr_faciliators_tot_c_refresher" localSheetId="10">'[2]4. Parameters'!$C$47</definedName>
    <definedName name="nr_faciliators_tot_c_refresher">'4. Parameters'!$C$47</definedName>
    <definedName name="nr_faciliators_tot_r" localSheetId="9">'[2]4. Parameters'!$C$60</definedName>
    <definedName name="nr_faciliators_tot_r" localSheetId="10">'[2]4. Parameters'!$C$60</definedName>
    <definedName name="nr_faciliators_tot_r">'4. Parameters'!$C$60</definedName>
    <definedName name="nr_facilities_m_s" localSheetId="9">'[2]4. Parameters'!$C$105</definedName>
    <definedName name="nr_facilities_m_s" localSheetId="10">'[2]4. Parameters'!$C$105</definedName>
    <definedName name="nr_facilities_m_s">'4. Parameters'!$C$105</definedName>
    <definedName name="nr_facilities_m_s_once" localSheetId="9">'[2]4. Parameters'!#REF!</definedName>
    <definedName name="nr_facilities_m_s_once" localSheetId="10">'[2]4. Parameters'!#REF!</definedName>
    <definedName name="nr_facilities_m_s_once">'4. Parameters'!#REF!</definedName>
    <definedName name="nr_facilities_per_district" localSheetId="9">'[2]4. Parameters'!$C$68</definedName>
    <definedName name="nr_facilities_per_district" localSheetId="10">'[2]4. Parameters'!$C$68</definedName>
    <definedName name="nr_facilities_per_district">'4. Parameters'!$C$68</definedName>
    <definedName name="nr_facilities_retrained_per_district" localSheetId="9">'[2]4. Parameters'!#REF!</definedName>
    <definedName name="nr_facilities_retrained_per_district" localSheetId="10">'[2]4. Parameters'!#REF!</definedName>
    <definedName name="nr_facilities_retrained_per_district">'4. Parameters'!#REF!</definedName>
    <definedName name="nr_hcw_per_facility" localSheetId="9">'[2]4. Parameters'!#REF!</definedName>
    <definedName name="nr_hcw_per_facility" localSheetId="10">'[2]4. Parameters'!#REF!</definedName>
    <definedName name="nr_hcw_per_facility">'4. Parameters'!#REF!</definedName>
    <definedName name="nr_hcw_per_session" localSheetId="9">'[2]4. Parameters'!$C$71</definedName>
    <definedName name="nr_hcw_per_session" localSheetId="10">'[2]4. Parameters'!$C$71</definedName>
    <definedName name="nr_hcw_per_session">'4. Parameters'!$C$71</definedName>
    <definedName name="nr_hcw_retrained_per_facility" localSheetId="9">'[2]4. Parameters'!#REF!</definedName>
    <definedName name="nr_hcw_retrained_per_facility" localSheetId="10">'[2]4. Parameters'!#REF!</definedName>
    <definedName name="nr_hcw_retrained_per_facility">'4. Parameters'!#REF!</definedName>
    <definedName name="nr_hcw_retrained_per_session" localSheetId="9">'[2]4. Parameters'!#REF!</definedName>
    <definedName name="nr_hcw_retrained_per_session" localSheetId="10">'[2]4. Parameters'!#REF!</definedName>
    <definedName name="nr_hcw_retrained_per_session">'4. Parameters'!#REF!</definedName>
    <definedName name="nr_hcw_transport_reimbursed_onsite" localSheetId="9">'[2]4. Parameters'!$C$75</definedName>
    <definedName name="nr_hcw_transport_reimbursed_onsite" localSheetId="10">'[2]4. Parameters'!$C$75</definedName>
    <definedName name="nr_hcw_transport_reimbursed_onsite">'4. Parameters'!$C$75</definedName>
    <definedName name="nr_in_brief_meetings" localSheetId="9">'[2]4. Parameters'!$C$20</definedName>
    <definedName name="nr_in_brief_meetings" localSheetId="10">'[2]4. Parameters'!$C$20</definedName>
    <definedName name="nr_in_brief_meetings">'4. Parameters'!$C$20</definedName>
    <definedName name="nr_inception_meetings" localSheetId="9">'[2]4. Parameters'!$C$22</definedName>
    <definedName name="nr_inception_meetings" localSheetId="10">'[2]4. Parameters'!$C$22</definedName>
    <definedName name="nr_inception_meetings">'4. Parameters'!$C$22</definedName>
    <definedName name="nr_int_faciliators_tot_c" localSheetId="9">'[2]4. Parameters'!$C$38</definedName>
    <definedName name="nr_int_faciliators_tot_c" localSheetId="10">'[2]4. Parameters'!$C$38</definedName>
    <definedName name="nr_int_faciliators_tot_c">'4. Parameters'!$C$38</definedName>
    <definedName name="nr_int_faciliators_tot_c_refresher" localSheetId="9">'[2]4. Parameters'!$C$48</definedName>
    <definedName name="nr_int_faciliators_tot_c_refresher" localSheetId="10">'[2]4. Parameters'!$C$48</definedName>
    <definedName name="nr_int_faciliators_tot_c_refresher">'4. Parameters'!$C$48</definedName>
    <definedName name="nr_MoH_staff_m_s_once" localSheetId="9">'[2]4. Parameters'!#REF!</definedName>
    <definedName name="nr_MoH_staff_m_s_once" localSheetId="10">'[2]4. Parameters'!#REF!</definedName>
    <definedName name="nr_MoH_staff_m_s_once">'4. Parameters'!#REF!</definedName>
    <definedName name="nr_moh_trainers_hotel_onsite" localSheetId="9">'[2]4. Parameters'!$C$73</definedName>
    <definedName name="nr_moh_trainers_hotel_onsite" localSheetId="10">'[2]4. Parameters'!$C$73</definedName>
    <definedName name="nr_moh_trainers_hotel_onsite">'4. Parameters'!$C$73</definedName>
    <definedName name="nr_moh_trainers_onsite" localSheetId="9">'[2]4. Parameters'!$C$72</definedName>
    <definedName name="nr_moh_trainers_onsite" localSheetId="10">'[2]4. Parameters'!$C$72</definedName>
    <definedName name="nr_moh_trainers_onsite">'4. Parameters'!$C$72</definedName>
    <definedName name="nr_moh_trainers_onsite_retraining" localSheetId="9">'[2]4. Parameters'!#REF!</definedName>
    <definedName name="nr_moh_trainers_onsite_retraining" localSheetId="10">'[2]4. Parameters'!#REF!</definedName>
    <definedName name="nr_moh_trainers_onsite_retraining">'4. Parameters'!#REF!</definedName>
    <definedName name="nr_nat_staff_district_m_s" localSheetId="9">'[2]4. Parameters'!$C$96</definedName>
    <definedName name="nr_nat_staff_district_m_s" localSheetId="10">'[2]4. Parameters'!$C$96</definedName>
    <definedName name="nr_nat_staff_district_m_s">'4. Parameters'!$C$96</definedName>
    <definedName name="nr_nat_staff_regional_m_s" localSheetId="9">'[2]4. Parameters'!$C$85</definedName>
    <definedName name="nr_nat_staff_regional_m_s" localSheetId="10">'[2]4. Parameters'!$C$85</definedName>
    <definedName name="nr_nat_staff_regional_m_s">'4. Parameters'!$C$85</definedName>
    <definedName name="nr_participants_hotel_tot_c" localSheetId="9">'[2]4. Parameters'!$C$39</definedName>
    <definedName name="nr_participants_hotel_tot_c" localSheetId="10">'[2]4. Parameters'!$C$39</definedName>
    <definedName name="nr_participants_hotel_tot_c">'4. Parameters'!$C$39</definedName>
    <definedName name="nr_participants_hotel_tot_c_refresher" localSheetId="9">'[2]4. Parameters'!$C$49</definedName>
    <definedName name="nr_participants_hotel_tot_c_refresher" localSheetId="10">'[2]4. Parameters'!$C$49</definedName>
    <definedName name="nr_participants_hotel_tot_c_refresher">'4. Parameters'!$C$49</definedName>
    <definedName name="nr_participants_hotel_tot_r" localSheetId="9">'[2]4. Parameters'!$C$61</definedName>
    <definedName name="nr_participants_hotel_tot_r" localSheetId="10">'[2]4. Parameters'!$C$61</definedName>
    <definedName name="nr_participants_hotel_tot_r">'4. Parameters'!$C$61</definedName>
    <definedName name="nr_participants_inception_meeting" localSheetId="9">'[2]4. Parameters'!$C$23</definedName>
    <definedName name="nr_participants_inception_meeting" localSheetId="10">'[2]4. Parameters'!$C$23</definedName>
    <definedName name="nr_participants_inception_meeting">'4. Parameters'!$C$23</definedName>
    <definedName name="nr_participants_per_diem_tot_c" localSheetId="9">'[2]4. Parameters'!$C$35</definedName>
    <definedName name="nr_participants_per_diem_tot_c" localSheetId="10">'[2]4. Parameters'!$C$35</definedName>
    <definedName name="nr_participants_per_diem_tot_c">'4. Parameters'!$C$35</definedName>
    <definedName name="nr_participants_per_diem_tot_c_refresher" localSheetId="9">'[2]4. Parameters'!$C$46</definedName>
    <definedName name="nr_participants_per_diem_tot_c_refresher" localSheetId="10">'[2]4. Parameters'!$C$46</definedName>
    <definedName name="nr_participants_per_diem_tot_c_refresher">'4. Parameters'!$C$46</definedName>
    <definedName name="nr_participants_per_diem_tot_r" localSheetId="9">'[2]4. Parameters'!$C$59</definedName>
    <definedName name="nr_participants_per_diem_tot_r" localSheetId="10">'[2]4. Parameters'!$C$59</definedName>
    <definedName name="nr_participants_per_diem_tot_r">'4. Parameters'!$C$59</definedName>
    <definedName name="nr_participants_per_in_brief_meeting" localSheetId="9">'[2]4. Parameters'!$C$21</definedName>
    <definedName name="nr_participants_per_in_brief_meeting" localSheetId="10">'[2]4. Parameters'!$C$21</definedName>
    <definedName name="nr_participants_per_in_brief_meeting">'4. Parameters'!$C$21</definedName>
    <definedName name="nr_participants_tot_c" localSheetId="9">'[2]4. Parameters'!$C$34</definedName>
    <definedName name="nr_participants_tot_c" localSheetId="10">'[2]4. Parameters'!$C$34</definedName>
    <definedName name="nr_participants_tot_c">'4. Parameters'!$C$34</definedName>
    <definedName name="nr_participants_tot_c_refresher" localSheetId="9">'[2]4. Parameters'!$C$45</definedName>
    <definedName name="nr_participants_tot_c_refresher" localSheetId="10">'[2]4. Parameters'!$C$45</definedName>
    <definedName name="nr_participants_tot_c_refresher">'4. Parameters'!$C$45</definedName>
    <definedName name="nr_participants_tot_r" localSheetId="9">'[2]4. Parameters'!$C$58</definedName>
    <definedName name="nr_participants_tot_r" localSheetId="10">'[2]4. Parameters'!$C$58</definedName>
    <definedName name="nr_participants_tot_r">'4. Parameters'!$C$58</definedName>
    <definedName name="nr_participants_workshop_draft" localSheetId="9">'[2]4. Parameters'!$C$25</definedName>
    <definedName name="nr_participants_workshop_draft" localSheetId="10">'[2]4. Parameters'!$C$25</definedName>
    <definedName name="nr_participants_workshop_draft">'4. Parameters'!$C$25</definedName>
    <definedName name="nr_participants_workshop_finalize" localSheetId="9">'[2]4. Parameters'!$C$27</definedName>
    <definedName name="nr_participants_workshop_finalize" localSheetId="10">'[2]4. Parameters'!$C$27</definedName>
    <definedName name="nr_participants_workshop_finalize">'4. Parameters'!$C$27</definedName>
    <definedName name="nr_participants_workshop_validate" localSheetId="9">'[2]4. Parameters'!$C$29</definedName>
    <definedName name="nr_participants_workshop_validate" localSheetId="10">'[2]4. Parameters'!$C$29</definedName>
    <definedName name="nr_participants_workshop_validate">'4. Parameters'!$C$29</definedName>
    <definedName name="nr_regions_m_s" localSheetId="9">'[2]4. Parameters'!$C$82</definedName>
    <definedName name="nr_regions_m_s" localSheetId="10">'[2]4. Parameters'!$C$82</definedName>
    <definedName name="nr_regions_m_s">'4. Parameters'!$C$82</definedName>
    <definedName name="nr_sessions_per_year_onsite" localSheetId="9">'[2]4. Parameters'!$C$69</definedName>
    <definedName name="nr_sessions_per_year_onsite" localSheetId="10">'[2]4. Parameters'!$C$69</definedName>
    <definedName name="nr_sessions_per_year_onsite">'4. Parameters'!$C$69</definedName>
    <definedName name="nr_sessions_py_tot_c" localSheetId="9">'[2]4. Parameters'!$C$32</definedName>
    <definedName name="nr_sessions_py_tot_c" localSheetId="10">'[2]4. Parameters'!$C$32</definedName>
    <definedName name="nr_sessions_py_tot_c">'4. Parameters'!$C$32</definedName>
    <definedName name="nr_sessions_tot_c_refresher" localSheetId="9">'[2]4. Parameters'!$C$43</definedName>
    <definedName name="nr_sessions_tot_c_refresher" localSheetId="10">'[2]4. Parameters'!$C$43</definedName>
    <definedName name="nr_sessions_tot_c_refresher">'4. Parameters'!$C$43</definedName>
    <definedName name="nr_sessions_tot_r" localSheetId="9">'[2]4. Parameters'!$C$55</definedName>
    <definedName name="nr_sessions_tot_r" localSheetId="10">'[2]4. Parameters'!$C$55</definedName>
    <definedName name="nr_sessions_tot_r">'4. Parameters'!$C$55</definedName>
    <definedName name="nr_staff_air_trans_district_m_s" localSheetId="9">'[2]4. Parameters'!$C$99</definedName>
    <definedName name="nr_staff_air_trans_district_m_s" localSheetId="10">'[2]4. Parameters'!$C$99</definedName>
    <definedName name="nr_staff_air_trans_district_m_s">'4. Parameters'!$C$99</definedName>
    <definedName name="nr_staff_air_trans_regional_m_s" localSheetId="9">'[2]4. Parameters'!$C$88</definedName>
    <definedName name="nr_staff_air_trans_regional_m_s" localSheetId="10">'[2]4. Parameters'!$C$88</definedName>
    <definedName name="nr_staff_air_trans_regional_m_s">'4. Parameters'!$C$88</definedName>
    <definedName name="nr_staff_hotel_district_m_s" localSheetId="9">'[2]4. Parameters'!$C$98</definedName>
    <definedName name="nr_staff_hotel_district_m_s" localSheetId="10">'[2]4. Parameters'!$C$98</definedName>
    <definedName name="nr_staff_hotel_district_m_s">'4. Parameters'!$C$98</definedName>
    <definedName name="nr_staff_hotel_facility_m_s" localSheetId="9">'[2]4. Parameters'!$C$110</definedName>
    <definedName name="nr_staff_hotel_facility_m_s" localSheetId="10">'[2]4. Parameters'!$C$110</definedName>
    <definedName name="nr_staff_hotel_facility_m_s">'4. Parameters'!$C$110</definedName>
    <definedName name="nr_staff_hotel_regional_m_s" localSheetId="9">'[2]4. Parameters'!$C$87</definedName>
    <definedName name="nr_staff_hotel_regional_m_s" localSheetId="10">'[2]4. Parameters'!$C$87</definedName>
    <definedName name="nr_staff_hotel_regional_m_s">'4. Parameters'!$C$87</definedName>
    <definedName name="nr_supp_staff_district_m_s" localSheetId="9">'[2]4. Parameters'!$C$97</definedName>
    <definedName name="nr_supp_staff_district_m_s" localSheetId="10">'[2]4. Parameters'!$C$97</definedName>
    <definedName name="nr_supp_staff_district_m_s">'4. Parameters'!$C$97</definedName>
    <definedName name="nr_supp_staff_facility_m_s" localSheetId="9">'[2]4. Parameters'!$C$109</definedName>
    <definedName name="nr_supp_staff_facility_m_s" localSheetId="10">'[2]4. Parameters'!$C$109</definedName>
    <definedName name="nr_supp_staff_facility_m_s">'4. Parameters'!$C$109</definedName>
    <definedName name="nr_supp_staff_regional_m_s" localSheetId="9">'[2]4. Parameters'!$C$86</definedName>
    <definedName name="nr_supp_staff_regional_m_s" localSheetId="10">'[2]4. Parameters'!$C$86</definedName>
    <definedName name="nr_supp_staff_regional_m_s">'4. Parameters'!$C$86</definedName>
    <definedName name="nr_trainees_per_region_tot_c_refresher" localSheetId="9">'[2]4. Parameters'!#REF!</definedName>
    <definedName name="nr_trainees_per_region_tot_c_refresher" localSheetId="10">'[2]4. Parameters'!#REF!</definedName>
    <definedName name="nr_trainees_per_region_tot_c_refresher">'4. Parameters'!#REF!</definedName>
    <definedName name="nr_trainees_per_region_tot_r" localSheetId="9">'[2]4. Parameters'!$C$57</definedName>
    <definedName name="nr_trainees_per_region_tot_r" localSheetId="10">'[2]4. Parameters'!$C$57</definedName>
    <definedName name="nr_trainees_per_region_tot_r">'4. Parameters'!$C$57</definedName>
    <definedName name="nr_trainers_air_travel" localSheetId="9">'[2]4. Parameters'!$C$74</definedName>
    <definedName name="nr_trainers_air_travel" localSheetId="10">'[2]4. Parameters'!$C$74</definedName>
    <definedName name="nr_trainers_air_travel">'4. Parameters'!$C$74</definedName>
    <definedName name="nr_training_materials_onsite" localSheetId="9">'[2]4. Parameters'!$C$77</definedName>
    <definedName name="nr_training_materials_onsite" localSheetId="10">'[2]4. Parameters'!$C$77</definedName>
    <definedName name="nr_training_materials_onsite">'4. Parameters'!$C$77</definedName>
    <definedName name="nr_training_materials_onsite_retraining" localSheetId="9">'[2]4. Parameters'!#REF!</definedName>
    <definedName name="nr_training_materials_onsite_retraining" localSheetId="10">'[2]4. Parameters'!#REF!</definedName>
    <definedName name="nr_training_materials_onsite_retraining">'4. Parameters'!#REF!</definedName>
    <definedName name="nr_training_materials_tot_c" localSheetId="9">'[2]4. Parameters'!$C$40</definedName>
    <definedName name="nr_training_materials_tot_c" localSheetId="10">'[2]4. Parameters'!$C$40</definedName>
    <definedName name="nr_training_materials_tot_c">'4. Parameters'!$C$40</definedName>
    <definedName name="nr_training_materials_tot_c_refresher" localSheetId="9">'[2]4. Parameters'!$C$51</definedName>
    <definedName name="nr_training_materials_tot_c_refresher" localSheetId="10">'[2]4. Parameters'!$C$51</definedName>
    <definedName name="nr_training_materials_tot_c_refresher">'4. Parameters'!$C$51</definedName>
    <definedName name="nr_training_materials_tot_r" localSheetId="9">'[2]4. Parameters'!$C$63</definedName>
    <definedName name="nr_training_materials_tot_r" localSheetId="10">'[2]4. Parameters'!$C$63</definedName>
    <definedName name="nr_training_materials_tot_r">'4. Parameters'!$C$63</definedName>
    <definedName name="nr_visits_district_m_s" localSheetId="9">'[2]4. Parameters'!$C$94</definedName>
    <definedName name="nr_visits_district_m_s" localSheetId="10">'[2]4. Parameters'!$C$94</definedName>
    <definedName name="nr_visits_district_m_s">'4. Parameters'!$C$94</definedName>
    <definedName name="nr_visits_facility_m_s" localSheetId="9">'[2]4. Parameters'!$C$106</definedName>
    <definedName name="nr_visits_facility_m_s" localSheetId="10">'[2]4. Parameters'!$C$106</definedName>
    <definedName name="nr_visits_facility_m_s">'4. Parameters'!$C$106</definedName>
    <definedName name="nr_visits_regional_m_s" localSheetId="9">'[2]4. Parameters'!$C$83</definedName>
    <definedName name="nr_visits_regional_m_s" localSheetId="10">'[2]4. Parameters'!$C$83</definedName>
    <definedName name="nr_visits_regional_m_s">'4. Parameters'!$C$83</definedName>
    <definedName name="Number_of_Facilities">'4. Parameters'!$B$8</definedName>
    <definedName name="number_regions">'4. Parameters'!$B$6</definedName>
    <definedName name="onsite_training_venue_needed" localSheetId="9">'[2]4. Parameters'!$C$76</definedName>
    <definedName name="onsite_training_venue_needed" localSheetId="10">'[2]4. Parameters'!$C$76</definedName>
    <definedName name="onsite_training_venue_needed">'4. Parameters'!$C$76</definedName>
    <definedName name="per_diem_ARO" localSheetId="9">'[2]5. Unit costs'!#REF!</definedName>
    <definedName name="per_diem_ARO" localSheetId="10">'[2]5. Unit costs'!#REF!</definedName>
    <definedName name="per_diem_ARO">'5. Unit costs'!#REF!</definedName>
    <definedName name="per_diem_Cap_TB" localSheetId="9">'[2]5. Unit costs'!#REF!</definedName>
    <definedName name="per_diem_Cap_TB" localSheetId="10">'[2]5. Unit costs'!#REF!</definedName>
    <definedName name="per_diem_Cap_TB">'5. Unit costs'!#REF!</definedName>
    <definedName name="per_diem_district" localSheetId="9">'[2]5. Unit costs'!$I$36</definedName>
    <definedName name="per_diem_district" localSheetId="10">'[2]5. Unit costs'!$I$36</definedName>
    <definedName name="per_diem_district">'5. Unit costs'!$H$36</definedName>
    <definedName name="per_diem_district_refresher" localSheetId="9">'[2]5. Unit costs'!#REF!</definedName>
    <definedName name="per_diem_district_refresher" localSheetId="10">'[2]5. Unit costs'!#REF!</definedName>
    <definedName name="per_diem_district_refresher">'5. Unit costs'!#REF!</definedName>
    <definedName name="per_diem_facilitators_central_ToT" localSheetId="9">'[2]5. Unit costs'!$I$58</definedName>
    <definedName name="per_diem_facilitators_central_ToT" localSheetId="10">'[2]5. Unit costs'!$I$58</definedName>
    <definedName name="per_diem_facilitators_central_ToT">'5. Unit costs'!$H$58</definedName>
    <definedName name="per_diem_facilitators_regional_ToT" localSheetId="9">'[2]5. Unit costs'!$I$75</definedName>
    <definedName name="per_diem_facilitators_regional_ToT" localSheetId="10">'[2]5. Unit costs'!$I$75</definedName>
    <definedName name="per_diem_facilitators_regional_ToT">'5. Unit costs'!$H$75</definedName>
    <definedName name="per_diem_facility">'5. Unit costs'!$H$35</definedName>
    <definedName name="per_diem_facility_staff_onsite_training" localSheetId="9">'[2]5. Unit costs'!$I$89</definedName>
    <definedName name="per_diem_facility_staff_onsite_training" localSheetId="10">'[2]5. Unit costs'!$I$89</definedName>
    <definedName name="per_diem_facility_staff_onsite_training">'5. Unit costs'!$H$89</definedName>
    <definedName name="per_diem_int_facilitator">'5. Unit costs'!#REF!</definedName>
    <definedName name="per_diem_int_facilitator_central_ToT" localSheetId="9">'[2]5. Unit costs'!$I$60</definedName>
    <definedName name="per_diem_int_facilitator_central_ToT" localSheetId="10">'[2]5. Unit costs'!$I$60</definedName>
    <definedName name="per_diem_int_facilitator_central_ToT">'5. Unit costs'!$H$60</definedName>
    <definedName name="per_diem_MoH_other" localSheetId="9">'[2]5. Unit costs'!$I$39</definedName>
    <definedName name="per_diem_MoH_other" localSheetId="10">'[2]5. Unit costs'!$I$39</definedName>
    <definedName name="per_diem_MoH_other">'5. Unit costs'!$H$39</definedName>
    <definedName name="per_diem_MoH_staff_ms_v">'5. Unit costs'!$H$50</definedName>
    <definedName name="per_diem_MoH_trainers_onsite_training" localSheetId="9">'[2]5. Unit costs'!$I$90</definedName>
    <definedName name="per_diem_MoH_trainers_onsite_training" localSheetId="10">'[2]5. Unit costs'!$I$90</definedName>
    <definedName name="per_diem_MoH_trainers_onsite_training">'5. Unit costs'!$H$90</definedName>
    <definedName name="per_diem_national" localSheetId="9">'[2]5. Unit costs'!$I$38</definedName>
    <definedName name="per_diem_national" localSheetId="10">'[2]5. Unit costs'!$I$38</definedName>
    <definedName name="per_diem_national">'5. Unit costs'!$H$38</definedName>
    <definedName name="per_diem_participant_staff">'5. Unit costs'!$H$91</definedName>
    <definedName name="per_diem_participants_central_ToT" localSheetId="9">'[2]5. Unit costs'!$I$57</definedName>
    <definedName name="per_diem_participants_central_ToT" localSheetId="10">'[2]5. Unit costs'!$I$57</definedName>
    <definedName name="per_diem_participants_central_ToT">'5. Unit costs'!$H$57</definedName>
    <definedName name="per_diem_participants_regional_ToT" localSheetId="9">'[2]5. Unit costs'!$I$76</definedName>
    <definedName name="per_diem_participants_regional_ToT" localSheetId="10">'[2]5. Unit costs'!$I$76</definedName>
    <definedName name="per_diem_participants_regional_ToT">'5. Unit costs'!$H$76</definedName>
    <definedName name="per_diem_pediatric_TB_committee" localSheetId="9">'[2]5. Unit costs'!$I$26</definedName>
    <definedName name="per_diem_pediatric_TB_committee" localSheetId="10">'[2]5. Unit costs'!$I$26</definedName>
    <definedName name="per_diem_pediatric_TB_committee">'5. Unit costs'!$H$26</definedName>
    <definedName name="per_diem_regional" localSheetId="9">'[2]5. Unit costs'!$I$37</definedName>
    <definedName name="per_diem_regional" localSheetId="10">'[2]5. Unit costs'!$I$37</definedName>
    <definedName name="per_diem_regional">'5. Unit costs'!$H$37</definedName>
    <definedName name="prop_paed_TB_district" localSheetId="9">'[2]4. Parameters'!$C$100</definedName>
    <definedName name="prop_paed_TB_district" localSheetId="10">'[2]4. Parameters'!$C$100</definedName>
    <definedName name="prop_paed_TB_district">'4. Parameters'!$C$100</definedName>
    <definedName name="prop_paed_TB_facility" localSheetId="9">'[2]4. Parameters'!$C$111</definedName>
    <definedName name="prop_paed_TB_facility" localSheetId="10">'[2]4. Parameters'!$C$111</definedName>
    <definedName name="prop_paed_TB_facility">'4. Parameters'!$C$111</definedName>
    <definedName name="prop_paediatric_TB" localSheetId="9">'[2]4. Parameters'!$C$89</definedName>
    <definedName name="prop_paediatric_TB" localSheetId="10">'[2]4. Parameters'!$C$89</definedName>
    <definedName name="prop_paediatric_TB">'4. Parameters'!$C$89</definedName>
    <definedName name="refreshments_mentorship" localSheetId="9">'[2]5. Unit costs'!$I$47</definedName>
    <definedName name="refreshments_mentorship" localSheetId="10">'[2]5. Unit costs'!$I$47</definedName>
    <definedName name="refreshments_mentorship">'5. Unit costs'!$H$47</definedName>
    <definedName name="refreshments_training_materials" localSheetId="9">'[2]5. Unit costs'!$I$30</definedName>
    <definedName name="refreshments_training_materials" localSheetId="10">'[2]5. Unit costs'!$I$30</definedName>
    <definedName name="refreshments_training_materials">'5. Unit costs'!$H$30</definedName>
    <definedName name="room_rental_central_ToT" localSheetId="9">'[2]5. Unit costs'!$I$66</definedName>
    <definedName name="room_rental_central_ToT" localSheetId="10">'[2]5. Unit costs'!$I$66</definedName>
    <definedName name="room_rental_central_ToT">'5. Unit costs'!$H$66</definedName>
    <definedName name="room_rental_mentorship">'5. Unit costs'!$H$45</definedName>
    <definedName name="room_rental_onsite_training" localSheetId="9">'[2]5. Unit costs'!$I$96</definedName>
    <definedName name="room_rental_onsite_training" localSheetId="10">'[2]5. Unit costs'!$I$96</definedName>
    <definedName name="room_rental_onsite_training">'5. Unit costs'!$H$96</definedName>
    <definedName name="room_rental_regional_ToT" localSheetId="9">'[2]5. Unit costs'!$I$81</definedName>
    <definedName name="room_rental_regional_ToT" localSheetId="10">'[2]5. Unit costs'!$I$81</definedName>
    <definedName name="room_rental_regional_ToT">'5. Unit costs'!$H$81</definedName>
    <definedName name="room_rental_training_materials" localSheetId="9">'[2]5. Unit costs'!$I$29</definedName>
    <definedName name="room_rental_training_materials" localSheetId="10">'[2]5. Unit costs'!$I$29</definedName>
    <definedName name="room_rental_training_materials">'5. Unit costs'!$H$29</definedName>
    <definedName name="snacks_central_ToT" localSheetId="9">'[2]5. Unit costs'!$I$68</definedName>
    <definedName name="snacks_central_ToT" localSheetId="10">'[2]5. Unit costs'!$I$68</definedName>
    <definedName name="snacks_central_ToT">'5. Unit costs'!$H$68</definedName>
    <definedName name="snacks_onsite_training" localSheetId="9">'[2]5. Unit costs'!$I$97</definedName>
    <definedName name="snacks_onsite_training" localSheetId="10">'[2]5. Unit costs'!$I$97</definedName>
    <definedName name="snacks_onsite_training">'5. Unit costs'!$H$97</definedName>
    <definedName name="start_year" localSheetId="9">'[2]4. Parameters'!$B$9</definedName>
    <definedName name="start_year" localSheetId="10">'[2]4. Parameters'!$B$9</definedName>
    <definedName name="start_year">'4. Parameters'!$B$9</definedName>
    <definedName name="stationary_central_ToT" localSheetId="9">'[2]5. Unit costs'!$I$69</definedName>
    <definedName name="stationary_central_ToT" localSheetId="10">'[2]5. Unit costs'!$I$69</definedName>
    <definedName name="stationary_central_ToT">'5. Unit costs'!$H$69</definedName>
    <definedName name="stationary_mentorship" localSheetId="9">'[2]5. Unit costs'!$I$52</definedName>
    <definedName name="stationary_mentorship" localSheetId="10">'[2]5. Unit costs'!$I$52</definedName>
    <definedName name="stationary_mentorship">'5. Unit costs'!$H$52</definedName>
    <definedName name="stationary_onsite_training" localSheetId="9">'[2]5. Unit costs'!$I$98</definedName>
    <definedName name="stationary_onsite_training" localSheetId="10">'[2]5. Unit costs'!$I$98</definedName>
    <definedName name="stationary_onsite_training">'5. Unit costs'!$H$98</definedName>
    <definedName name="stationary_regional_ToT" localSheetId="9">'[2]5. Unit costs'!$I$84</definedName>
    <definedName name="stationary_regional_ToT" localSheetId="10">'[2]5. Unit costs'!$I$84</definedName>
    <definedName name="stationary_regional_ToT">'5. Unit costs'!$H$84</definedName>
    <definedName name="supervision_fees" localSheetId="9">'[2]5. Unit costs'!$I$48</definedName>
    <definedName name="supervision_fees" localSheetId="10">'[2]5. Unit costs'!$I$48</definedName>
    <definedName name="supervision_fees">'5. Unit costs'!$H$48</definedName>
    <definedName name="training_material_central_ToT" localSheetId="9">'[2]5. Unit costs'!$I$71</definedName>
    <definedName name="training_material_central_ToT" localSheetId="10">'[2]5. Unit costs'!$I$71</definedName>
    <definedName name="training_material_central_ToT">'5. Unit costs'!$H$71</definedName>
    <definedName name="transport_facilitator_central_ToT" localSheetId="9">'[2]5. Unit costs'!$I$63</definedName>
    <definedName name="transport_facilitator_central_ToT" localSheetId="10">'[2]5. Unit costs'!$I$63</definedName>
    <definedName name="transport_facilitator_central_ToT">'5. Unit costs'!$H$63</definedName>
    <definedName name="transport_facilitator_regional_ToT" localSheetId="9">'[2]5. Unit costs'!$I$78</definedName>
    <definedName name="transport_facilitator_regional_ToT" localSheetId="10">'[2]5. Unit costs'!$I$78</definedName>
    <definedName name="transport_facilitator_regional_ToT">'5. Unit costs'!$H$78</definedName>
    <definedName name="transport_facility_staff_onsite_training" localSheetId="9">'[2]5. Unit costs'!$I$92</definedName>
    <definedName name="transport_facility_staff_onsite_training" localSheetId="10">'[2]5. Unit costs'!$I$92</definedName>
    <definedName name="transport_facility_staff_onsite_training">'5. Unit costs'!$H$92</definedName>
    <definedName name="transport_mentorship_district" localSheetId="9">'[2]5. Unit costs'!$I$42</definedName>
    <definedName name="transport_mentorship_district" localSheetId="10">'[2]5. Unit costs'!$I$42</definedName>
    <definedName name="transport_mentorship_district">'5. Unit costs'!$H$42</definedName>
    <definedName name="transport_mentorship_facility" localSheetId="9">'[2]5. Unit costs'!$I$43</definedName>
    <definedName name="transport_mentorship_facility" localSheetId="10">'[2]5. Unit costs'!$I$43</definedName>
    <definedName name="transport_mentorship_facility">'5. Unit costs'!$H$43</definedName>
    <definedName name="transport_mentorship_regional" localSheetId="9">'[2]5. Unit costs'!$I$41</definedName>
    <definedName name="transport_mentorship_regional" localSheetId="10">'[2]5. Unit costs'!$I$41</definedName>
    <definedName name="transport_mentorship_regional">'5. Unit costs'!$H$41</definedName>
    <definedName name="transport_MoH_trainers_onsite_training" localSheetId="9">'[2]5. Unit costs'!$I$93</definedName>
    <definedName name="transport_MoH_trainers_onsite_training" localSheetId="10">'[2]5. Unit costs'!$I$93</definedName>
    <definedName name="transport_MoH_trainers_onsite_training">'5. Unit costs'!$H$93</definedName>
    <definedName name="transport_participant_central_ToT" localSheetId="9">'[2]5. Unit costs'!$I$62</definedName>
    <definedName name="transport_participant_central_ToT" localSheetId="10">'[2]5. Unit costs'!$I$62</definedName>
    <definedName name="transport_participant_central_ToT">'5. Unit costs'!$H$62</definedName>
    <definedName name="transport_participant_regional_ToT" localSheetId="9">'[2]5. Unit costs'!$I$79</definedName>
    <definedName name="transport_participant_regional_ToT" localSheetId="10">'[2]5. Unit costs'!$I$79</definedName>
    <definedName name="transport_participant_regional_ToT">'5. Unit costs'!$H$79</definedName>
    <definedName name="transport_Participant_ToT_refresher" localSheetId="9">'[2]5. Unit costs'!#REF!</definedName>
    <definedName name="transport_Participant_ToT_refresher" localSheetId="10">'[2]5. Unit costs'!#REF!</definedName>
    <definedName name="transport_Participant_ToT_refresher">'5. Unit costs'!#REF!</definedName>
    <definedName name="transport_training_materials" localSheetId="9">'[2]5. Unit costs'!$I$28</definedName>
    <definedName name="transport_training_materials" localSheetId="10">'[2]5. Unit costs'!$I$28</definedName>
    <definedName name="transport_training_materials">'5. Unit costs'!$H$28</definedName>
    <definedName name="VarFactsheet" localSheetId="9">[2]Factsheet!$F$2:$F$101</definedName>
    <definedName name="VarFactsheet" localSheetId="10">[2]Factsheet!$F$2:$F$101</definedName>
    <definedName name="VarFactsheet">#REF!</definedName>
    <definedName name="VarUnitCosts">#REF!</definedName>
    <definedName name="workshop_package_central_ToT" localSheetId="9">'[2]5. Unit costs'!$I$70</definedName>
    <definedName name="workshop_package_central_ToT" localSheetId="10">'[2]5. Unit costs'!$I$70</definedName>
    <definedName name="workshop_package_central_ToT">'5. Unit costs'!$H$70</definedName>
    <definedName name="workshop_package_materials" localSheetId="9">'[2]5. Unit costs'!$I$31</definedName>
    <definedName name="workshop_package_materials" localSheetId="10">'[2]5. Unit costs'!$I$31</definedName>
    <definedName name="workshop_package_materials">'5. Unit costs'!$H$31</definedName>
    <definedName name="workshop_package_onsite_training" localSheetId="9">'[2]5. Unit costs'!$I$99</definedName>
    <definedName name="workshop_package_onsite_training" localSheetId="10">'[2]5. Unit costs'!$I$99</definedName>
    <definedName name="workshop_package_onsite_training">'5. Unit costs'!$H$99</definedName>
    <definedName name="workshop_package_regional_ToT" localSheetId="9">'[2]5. Unit costs'!$I$85</definedName>
    <definedName name="workshop_package_regional_ToT" localSheetId="10">'[2]5. Unit costs'!$I$85</definedName>
    <definedName name="workshop_package_regional_ToT">'5. Unit costs'!$H$85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8" i="22" l="1"/>
  <c r="C86" i="22"/>
  <c r="C75" i="22"/>
  <c r="A13" i="2" l="1"/>
  <c r="C11" i="2"/>
  <c r="C9" i="2"/>
  <c r="C8" i="2"/>
  <c r="C7" i="2"/>
  <c r="C6" i="2"/>
  <c r="H53" i="14"/>
  <c r="H52" i="14"/>
  <c r="H51" i="14"/>
  <c r="H50" i="14"/>
  <c r="H49" i="14"/>
  <c r="H48" i="14"/>
  <c r="H47" i="14"/>
  <c r="H46" i="14"/>
  <c r="H45" i="14"/>
  <c r="H44" i="14"/>
  <c r="H43" i="14"/>
  <c r="H42" i="14"/>
  <c r="H41" i="14"/>
  <c r="H39" i="14"/>
  <c r="H38" i="14"/>
  <c r="H37" i="14"/>
  <c r="H36" i="14"/>
  <c r="H35" i="14"/>
  <c r="H32" i="14"/>
  <c r="H31" i="14"/>
  <c r="H30" i="14"/>
  <c r="H29" i="14"/>
  <c r="H28" i="14"/>
  <c r="H26" i="14"/>
  <c r="H25" i="14"/>
  <c r="H100" i="14" l="1"/>
  <c r="H99" i="14"/>
  <c r="H98" i="14"/>
  <c r="H97" i="14"/>
  <c r="H96" i="14"/>
  <c r="H94" i="14"/>
  <c r="H93" i="14"/>
  <c r="H92" i="14"/>
  <c r="H90" i="14"/>
  <c r="H89" i="14"/>
  <c r="H85" i="14"/>
  <c r="H84" i="14"/>
  <c r="H83" i="14"/>
  <c r="H82" i="14"/>
  <c r="H81" i="14"/>
  <c r="H79" i="14"/>
  <c r="H78" i="14"/>
  <c r="H76" i="14"/>
  <c r="H75" i="14"/>
  <c r="H71" i="14"/>
  <c r="H70" i="14"/>
  <c r="H69" i="14"/>
  <c r="H68" i="14"/>
  <c r="H67" i="14"/>
  <c r="H66" i="14"/>
  <c r="H64" i="14"/>
  <c r="H63" i="14"/>
  <c r="H62" i="14"/>
  <c r="H60" i="14"/>
  <c r="H59" i="14"/>
  <c r="H58" i="14"/>
  <c r="H57" i="14" l="1"/>
  <c r="N18" i="2"/>
  <c r="F36" i="9" l="1"/>
  <c r="H25" i="9"/>
  <c r="M36" i="9"/>
  <c r="G36" i="9"/>
  <c r="I25" i="9"/>
  <c r="F25" i="9"/>
  <c r="H36" i="9"/>
  <c r="E36" i="9"/>
  <c r="J25" i="9"/>
  <c r="D25" i="9"/>
  <c r="I36" i="9"/>
  <c r="D36" i="9"/>
  <c r="K25" i="9"/>
  <c r="J36" i="9"/>
  <c r="L25" i="9"/>
  <c r="L36" i="9"/>
  <c r="G25" i="9"/>
  <c r="K36" i="9"/>
  <c r="M25" i="9"/>
  <c r="E25" i="9"/>
  <c r="F37" i="9"/>
  <c r="E37" i="9"/>
  <c r="G37" i="9"/>
  <c r="D37" i="9"/>
  <c r="H37" i="9"/>
  <c r="M37" i="9"/>
  <c r="I37" i="9"/>
  <c r="J37" i="9"/>
  <c r="K37" i="9"/>
  <c r="L37" i="9"/>
  <c r="F40" i="9"/>
  <c r="H29" i="9"/>
  <c r="E29" i="9"/>
  <c r="D29" i="9"/>
  <c r="L40" i="9"/>
  <c r="G40" i="9"/>
  <c r="I29" i="9"/>
  <c r="H40" i="9"/>
  <c r="E40" i="9"/>
  <c r="J29" i="9"/>
  <c r="F29" i="9"/>
  <c r="I40" i="9"/>
  <c r="D40" i="9"/>
  <c r="K29" i="9"/>
  <c r="J40" i="9"/>
  <c r="L29" i="9"/>
  <c r="M29" i="9"/>
  <c r="M40" i="9"/>
  <c r="K40" i="9"/>
  <c r="G29" i="9"/>
  <c r="F41" i="9"/>
  <c r="E41" i="9"/>
  <c r="H30" i="9"/>
  <c r="M41" i="9"/>
  <c r="G41" i="9"/>
  <c r="D41" i="9"/>
  <c r="I30" i="9"/>
  <c r="H41" i="9"/>
  <c r="J30" i="9"/>
  <c r="D30" i="9"/>
  <c r="I41" i="9"/>
  <c r="K30" i="9"/>
  <c r="F30" i="9"/>
  <c r="J41" i="9"/>
  <c r="L30" i="9"/>
  <c r="L41" i="9"/>
  <c r="E30" i="9"/>
  <c r="G30" i="9"/>
  <c r="K41" i="9"/>
  <c r="M30" i="9"/>
  <c r="H26" i="9"/>
  <c r="I26" i="9"/>
  <c r="D26" i="9"/>
  <c r="G26" i="9"/>
  <c r="J26" i="9"/>
  <c r="K26" i="9"/>
  <c r="L26" i="9"/>
  <c r="E26" i="9"/>
  <c r="F26" i="9"/>
  <c r="M26" i="9"/>
  <c r="F38" i="9"/>
  <c r="H27" i="9"/>
  <c r="D27" i="9"/>
  <c r="F27" i="9"/>
  <c r="G27" i="9"/>
  <c r="G38" i="9"/>
  <c r="I27" i="9"/>
  <c r="H38" i="9"/>
  <c r="J27" i="9"/>
  <c r="I38" i="9"/>
  <c r="K27" i="9"/>
  <c r="E38" i="9"/>
  <c r="M38" i="9"/>
  <c r="D38" i="9"/>
  <c r="J38" i="9"/>
  <c r="L27" i="9"/>
  <c r="E27" i="9"/>
  <c r="L38" i="9"/>
  <c r="K38" i="9"/>
  <c r="M27" i="9"/>
  <c r="F35" i="9"/>
  <c r="G35" i="9"/>
  <c r="M35" i="9"/>
  <c r="H35" i="9"/>
  <c r="I35" i="9"/>
  <c r="J35" i="9"/>
  <c r="D35" i="9"/>
  <c r="K35" i="9"/>
  <c r="E35" i="9"/>
  <c r="L35" i="9"/>
  <c r="F42" i="9"/>
  <c r="H31" i="9"/>
  <c r="I31" i="9"/>
  <c r="F31" i="9"/>
  <c r="G31" i="9"/>
  <c r="G42" i="9"/>
  <c r="H42" i="9"/>
  <c r="J31" i="9"/>
  <c r="M42" i="9"/>
  <c r="I42" i="9"/>
  <c r="K31" i="9"/>
  <c r="J42" i="9"/>
  <c r="L31" i="9"/>
  <c r="K42" i="9"/>
  <c r="M31" i="9"/>
  <c r="L42" i="9"/>
  <c r="H24" i="9"/>
  <c r="I24" i="9"/>
  <c r="J24" i="9"/>
  <c r="F24" i="9"/>
  <c r="K24" i="9"/>
  <c r="D24" i="9"/>
  <c r="L24" i="9"/>
  <c r="M24" i="9"/>
  <c r="G24" i="9"/>
  <c r="E24" i="9"/>
  <c r="F39" i="9"/>
  <c r="H28" i="9"/>
  <c r="G39" i="9"/>
  <c r="I28" i="9"/>
  <c r="H39" i="9"/>
  <c r="J28" i="9"/>
  <c r="E28" i="9"/>
  <c r="D28" i="9"/>
  <c r="G28" i="9"/>
  <c r="I39" i="9"/>
  <c r="K28" i="9"/>
  <c r="J39" i="9"/>
  <c r="E39" i="9"/>
  <c r="L28" i="9"/>
  <c r="K39" i="9"/>
  <c r="D39" i="9"/>
  <c r="M28" i="9"/>
  <c r="L39" i="9"/>
  <c r="F28" i="9"/>
  <c r="M39" i="9"/>
  <c r="F20" i="9"/>
  <c r="G20" i="9"/>
  <c r="H20" i="9"/>
  <c r="I20" i="9"/>
  <c r="J20" i="9"/>
  <c r="K20" i="9"/>
  <c r="L20" i="9"/>
  <c r="M20" i="9"/>
  <c r="E20" i="9"/>
  <c r="D20" i="9"/>
  <c r="E31" i="9"/>
  <c r="D31" i="9"/>
  <c r="E42" i="9"/>
  <c r="D19" i="9"/>
  <c r="E19" i="9"/>
  <c r="F19" i="9"/>
  <c r="G19" i="9"/>
  <c r="H19" i="9"/>
  <c r="I19" i="9"/>
  <c r="J19" i="9"/>
  <c r="K19" i="9"/>
  <c r="L19" i="9"/>
  <c r="M19" i="9"/>
  <c r="D46" i="2"/>
  <c r="E46" i="2"/>
  <c r="C46" i="2"/>
  <c r="N46" i="2" s="1"/>
  <c r="D49" i="2"/>
  <c r="E49" i="2"/>
  <c r="C49" i="2"/>
  <c r="N49" i="2" s="1"/>
  <c r="D39" i="2"/>
  <c r="E39" i="2"/>
  <c r="C39" i="2"/>
  <c r="N39" i="2" s="1"/>
  <c r="N100" i="2"/>
  <c r="N109" i="2"/>
  <c r="N108" i="2"/>
  <c r="N107" i="2"/>
  <c r="N104" i="2"/>
  <c r="N106" i="2"/>
  <c r="N105" i="2"/>
  <c r="N99" i="2"/>
  <c r="N97" i="2"/>
  <c r="N96" i="2"/>
  <c r="N95" i="2"/>
  <c r="N94" i="2"/>
  <c r="N93" i="2"/>
  <c r="C98" i="2"/>
  <c r="N98" i="2" s="1"/>
  <c r="C110" i="2"/>
  <c r="N110" i="2" s="1"/>
  <c r="N111" i="2"/>
  <c r="N89" i="2"/>
  <c r="N88" i="2"/>
  <c r="N86" i="2"/>
  <c r="N85" i="2"/>
  <c r="N84" i="2"/>
  <c r="N83" i="2"/>
  <c r="N82" i="2"/>
  <c r="N76" i="2"/>
  <c r="N75" i="2"/>
  <c r="N74" i="2"/>
  <c r="N73" i="2"/>
  <c r="N72" i="2"/>
  <c r="N71" i="2"/>
  <c r="N70" i="2"/>
  <c r="N69" i="2"/>
  <c r="N68" i="2"/>
  <c r="N67" i="2"/>
  <c r="N62" i="2"/>
  <c r="N60" i="2"/>
  <c r="N57" i="2"/>
  <c r="N56" i="2"/>
  <c r="N55" i="2"/>
  <c r="N54" i="2"/>
  <c r="N50" i="2"/>
  <c r="N48" i="2"/>
  <c r="N47" i="2"/>
  <c r="N45" i="2"/>
  <c r="N44" i="2"/>
  <c r="N43" i="2"/>
  <c r="N32" i="2"/>
  <c r="N33" i="2"/>
  <c r="N34" i="2"/>
  <c r="N36" i="2"/>
  <c r="N37" i="2"/>
  <c r="N38" i="2"/>
  <c r="C35" i="2"/>
  <c r="N29" i="2"/>
  <c r="N28" i="2"/>
  <c r="N25" i="2"/>
  <c r="N27" i="2"/>
  <c r="N26" i="2"/>
  <c r="N24" i="2"/>
  <c r="N23" i="2"/>
  <c r="N22" i="2"/>
  <c r="N21" i="2"/>
  <c r="N19" i="2"/>
  <c r="N20" i="2"/>
  <c r="K13" i="2"/>
  <c r="C13" i="2"/>
  <c r="C12" i="2"/>
  <c r="C5" i="2"/>
  <c r="A3" i="13"/>
  <c r="D42" i="9" l="1"/>
  <c r="N35" i="2"/>
  <c r="F19" i="14" l="1"/>
  <c r="E51" i="2"/>
  <c r="D51" i="2"/>
  <c r="C51" i="2"/>
  <c r="N51" i="2" s="1"/>
  <c r="G29" i="12" l="1"/>
  <c r="J29" i="12"/>
  <c r="D29" i="12"/>
  <c r="L13" i="12"/>
  <c r="I13" i="12"/>
  <c r="G13" i="12"/>
  <c r="F29" i="12"/>
  <c r="H29" i="12"/>
  <c r="K29" i="12"/>
  <c r="E29" i="12"/>
  <c r="J13" i="12"/>
  <c r="M13" i="12"/>
  <c r="H13" i="12"/>
  <c r="M29" i="12"/>
  <c r="L29" i="12"/>
  <c r="E13" i="12"/>
  <c r="I29" i="12"/>
  <c r="F13" i="12"/>
  <c r="D13" i="12"/>
  <c r="K13" i="12"/>
  <c r="E21" i="12"/>
  <c r="K21" i="12"/>
  <c r="F21" i="12"/>
  <c r="G37" i="12"/>
  <c r="G21" i="12"/>
  <c r="D37" i="12"/>
  <c r="J37" i="12"/>
  <c r="I21" i="12"/>
  <c r="L21" i="12"/>
  <c r="D21" i="12"/>
  <c r="K37" i="12"/>
  <c r="F37" i="12"/>
  <c r="H37" i="12"/>
  <c r="M21" i="12"/>
  <c r="E37" i="12"/>
  <c r="J21" i="12"/>
  <c r="M37" i="12"/>
  <c r="H21" i="12"/>
  <c r="I37" i="12"/>
  <c r="L37" i="12"/>
  <c r="G56" i="12"/>
  <c r="J56" i="12"/>
  <c r="E56" i="12"/>
  <c r="K56" i="12"/>
  <c r="L56" i="12"/>
  <c r="M56" i="12"/>
  <c r="H56" i="12"/>
  <c r="F56" i="12"/>
  <c r="I56" i="12"/>
  <c r="K61" i="12"/>
  <c r="L61" i="12"/>
  <c r="M61" i="12"/>
  <c r="H61" i="12"/>
  <c r="F61" i="12"/>
  <c r="E61" i="12"/>
  <c r="I61" i="12"/>
  <c r="G61" i="12"/>
  <c r="J61" i="12"/>
  <c r="M58" i="12"/>
  <c r="F58" i="12"/>
  <c r="H58" i="12"/>
  <c r="E58" i="12"/>
  <c r="I58" i="12"/>
  <c r="J58" i="12"/>
  <c r="G58" i="12"/>
  <c r="K58" i="12"/>
  <c r="L58" i="12"/>
  <c r="F32" i="12"/>
  <c r="I32" i="12"/>
  <c r="M32" i="12"/>
  <c r="H16" i="12"/>
  <c r="D32" i="12"/>
  <c r="L32" i="12"/>
  <c r="G16" i="12"/>
  <c r="K16" i="12"/>
  <c r="G32" i="12"/>
  <c r="D16" i="12"/>
  <c r="I16" i="12"/>
  <c r="J32" i="12"/>
  <c r="H32" i="12"/>
  <c r="L16" i="12"/>
  <c r="E32" i="12"/>
  <c r="K32" i="12"/>
  <c r="J16" i="12"/>
  <c r="M16" i="12"/>
  <c r="K60" i="12"/>
  <c r="L60" i="12"/>
  <c r="M60" i="12"/>
  <c r="F60" i="12"/>
  <c r="H60" i="12"/>
  <c r="G60" i="12"/>
  <c r="I60" i="12"/>
  <c r="J60" i="12"/>
  <c r="E60" i="12"/>
  <c r="G31" i="12"/>
  <c r="L15" i="12"/>
  <c r="L31" i="12"/>
  <c r="I15" i="12"/>
  <c r="E15" i="12"/>
  <c r="F15" i="12"/>
  <c r="H31" i="12"/>
  <c r="M31" i="12"/>
  <c r="J15" i="12"/>
  <c r="K31" i="12"/>
  <c r="I31" i="12"/>
  <c r="D31" i="12"/>
  <c r="K15" i="12"/>
  <c r="M15" i="12"/>
  <c r="F31" i="12"/>
  <c r="J31" i="12"/>
  <c r="D15" i="12"/>
  <c r="H15" i="12"/>
  <c r="E31" i="12"/>
  <c r="G15" i="12"/>
  <c r="K57" i="12"/>
  <c r="L57" i="12"/>
  <c r="M57" i="12"/>
  <c r="H57" i="12"/>
  <c r="F57" i="12"/>
  <c r="E57" i="12"/>
  <c r="G57" i="12"/>
  <c r="I57" i="12"/>
  <c r="J57" i="12"/>
  <c r="I59" i="12"/>
  <c r="J59" i="12"/>
  <c r="K59" i="12"/>
  <c r="L59" i="12"/>
  <c r="E59" i="12"/>
  <c r="M59" i="12"/>
  <c r="G59" i="12"/>
  <c r="H59" i="12"/>
  <c r="F59" i="12"/>
  <c r="H57" i="4" l="1"/>
  <c r="D28" i="4"/>
  <c r="K57" i="4"/>
  <c r="D47" i="4"/>
  <c r="F47" i="4"/>
  <c r="G57" i="4"/>
  <c r="I47" i="4"/>
  <c r="L37" i="4"/>
  <c r="F57" i="4"/>
  <c r="E28" i="4"/>
  <c r="J57" i="4"/>
  <c r="G37" i="4"/>
  <c r="L57" i="4"/>
  <c r="L47" i="4"/>
  <c r="I57" i="4"/>
  <c r="H47" i="4"/>
  <c r="M28" i="4"/>
  <c r="E47" i="4"/>
  <c r="G47" i="4"/>
  <c r="F37" i="4"/>
  <c r="M57" i="4"/>
  <c r="J37" i="4"/>
  <c r="M37" i="4"/>
  <c r="L28" i="4"/>
  <c r="D57" i="4"/>
  <c r="H28" i="4"/>
  <c r="D37" i="4"/>
  <c r="K37" i="4"/>
  <c r="M47" i="4"/>
  <c r="K28" i="4"/>
  <c r="E37" i="4"/>
  <c r="I28" i="4"/>
  <c r="I37" i="4"/>
  <c r="J28" i="4"/>
  <c r="G28" i="4"/>
  <c r="E57" i="4"/>
  <c r="J47" i="4"/>
  <c r="H37" i="4"/>
  <c r="F28" i="4"/>
  <c r="K47" i="4"/>
  <c r="H15" i="9"/>
  <c r="I15" i="9"/>
  <c r="J15" i="9"/>
  <c r="K15" i="9"/>
  <c r="L15" i="9"/>
  <c r="F15" i="9"/>
  <c r="E15" i="9"/>
  <c r="G15" i="9"/>
  <c r="M15" i="9"/>
  <c r="E77" i="2"/>
  <c r="D77" i="2"/>
  <c r="C103" i="2"/>
  <c r="D103" i="2" s="1"/>
  <c r="E103" i="2" s="1"/>
  <c r="F103" i="2" s="1"/>
  <c r="G103" i="2" s="1"/>
  <c r="H103" i="2" s="1"/>
  <c r="I103" i="2" s="1"/>
  <c r="J103" i="2" s="1"/>
  <c r="K103" i="2" s="1"/>
  <c r="L103" i="2" s="1"/>
  <c r="C92" i="2"/>
  <c r="D92" i="2" s="1"/>
  <c r="E92" i="2" s="1"/>
  <c r="F92" i="2" s="1"/>
  <c r="G92" i="2" s="1"/>
  <c r="H92" i="2" s="1"/>
  <c r="I92" i="2" s="1"/>
  <c r="J92" i="2" s="1"/>
  <c r="K92" i="2" s="1"/>
  <c r="L92" i="2" s="1"/>
  <c r="C87" i="2"/>
  <c r="N87" i="2" s="1"/>
  <c r="C77" i="2"/>
  <c r="N77" i="2" s="1"/>
  <c r="D35" i="2"/>
  <c r="E35" i="2"/>
  <c r="D40" i="2"/>
  <c r="E16" i="12" s="1"/>
  <c r="E40" i="2"/>
  <c r="F16" i="12" s="1"/>
  <c r="G60" i="4" l="1"/>
  <c r="F40" i="4"/>
  <c r="D40" i="4"/>
  <c r="M50" i="4"/>
  <c r="K40" i="4"/>
  <c r="H60" i="4"/>
  <c r="K50" i="4"/>
  <c r="D60" i="4"/>
  <c r="L40" i="4"/>
  <c r="J60" i="4"/>
  <c r="I40" i="4"/>
  <c r="I60" i="4"/>
  <c r="E40" i="4"/>
  <c r="F50" i="4"/>
  <c r="F60" i="4"/>
  <c r="G50" i="4"/>
  <c r="E50" i="4"/>
  <c r="L60" i="4"/>
  <c r="E60" i="4"/>
  <c r="D50" i="4"/>
  <c r="K60" i="4"/>
  <c r="J50" i="4"/>
  <c r="L50" i="4"/>
  <c r="M40" i="4"/>
  <c r="I50" i="4"/>
  <c r="H40" i="4"/>
  <c r="J40" i="4"/>
  <c r="H50" i="4"/>
  <c r="G40" i="4"/>
  <c r="M60" i="4"/>
  <c r="D15" i="9"/>
  <c r="D56" i="12"/>
  <c r="C58" i="2"/>
  <c r="C81" i="2"/>
  <c r="D81" i="2" s="1"/>
  <c r="E81" i="2" s="1"/>
  <c r="F81" i="2" s="1"/>
  <c r="G81" i="2" s="1"/>
  <c r="H81" i="2" s="1"/>
  <c r="I81" i="2" s="1"/>
  <c r="J81" i="2" s="1"/>
  <c r="K81" i="2" s="1"/>
  <c r="L81" i="2" s="1"/>
  <c r="C66" i="2"/>
  <c r="D66" i="2" s="1"/>
  <c r="E66" i="2" s="1"/>
  <c r="F66" i="2" s="1"/>
  <c r="G66" i="2" s="1"/>
  <c r="H66" i="2" s="1"/>
  <c r="I66" i="2" s="1"/>
  <c r="J66" i="2" s="1"/>
  <c r="K66" i="2" s="1"/>
  <c r="L66" i="2" s="1"/>
  <c r="C53" i="2"/>
  <c r="D53" i="2" s="1"/>
  <c r="C42" i="2"/>
  <c r="D42" i="2" s="1"/>
  <c r="E42" i="2" s="1"/>
  <c r="F42" i="2" s="1"/>
  <c r="G42" i="2" s="1"/>
  <c r="H42" i="2" s="1"/>
  <c r="I42" i="2" s="1"/>
  <c r="J42" i="2" s="1"/>
  <c r="K42" i="2" s="1"/>
  <c r="L42" i="2" s="1"/>
  <c r="C31" i="2"/>
  <c r="D31" i="2" s="1"/>
  <c r="E31" i="2" s="1"/>
  <c r="F31" i="2" s="1"/>
  <c r="G31" i="2" s="1"/>
  <c r="H31" i="2" s="1"/>
  <c r="I31" i="2" s="1"/>
  <c r="J31" i="2" s="1"/>
  <c r="K31" i="2" s="1"/>
  <c r="L31" i="2" s="1"/>
  <c r="C40" i="2"/>
  <c r="C17" i="2"/>
  <c r="D17" i="2" s="1"/>
  <c r="E17" i="2" s="1"/>
  <c r="F17" i="2" s="1"/>
  <c r="G17" i="2" s="1"/>
  <c r="H17" i="2" s="1"/>
  <c r="I17" i="2" s="1"/>
  <c r="J17" i="2" s="1"/>
  <c r="K17" i="2" s="1"/>
  <c r="L17" i="2" s="1"/>
  <c r="L14" i="4" l="1"/>
  <c r="L39" i="4"/>
  <c r="J59" i="4"/>
  <c r="I49" i="4"/>
  <c r="J49" i="4"/>
  <c r="G30" i="4"/>
  <c r="I59" i="4"/>
  <c r="H49" i="4"/>
  <c r="D49" i="4"/>
  <c r="H39" i="4"/>
  <c r="D30" i="4"/>
  <c r="F59" i="4"/>
  <c r="D59" i="4"/>
  <c r="E49" i="4"/>
  <c r="G39" i="4"/>
  <c r="E39" i="4"/>
  <c r="L49" i="4"/>
  <c r="G49" i="4"/>
  <c r="F39" i="4"/>
  <c r="M30" i="4"/>
  <c r="F30" i="4"/>
  <c r="J39" i="4"/>
  <c r="M39" i="4"/>
  <c r="L30" i="4"/>
  <c r="I39" i="4"/>
  <c r="E30" i="4"/>
  <c r="H30" i="4"/>
  <c r="K30" i="4"/>
  <c r="E59" i="4"/>
  <c r="G59" i="4"/>
  <c r="M59" i="4"/>
  <c r="I30" i="4"/>
  <c r="K39" i="4"/>
  <c r="M49" i="4"/>
  <c r="H59" i="4"/>
  <c r="K49" i="4"/>
  <c r="J30" i="4"/>
  <c r="F49" i="4"/>
  <c r="K59" i="4"/>
  <c r="L59" i="4"/>
  <c r="D39" i="4"/>
  <c r="G48" i="4"/>
  <c r="L38" i="4"/>
  <c r="I48" i="4"/>
  <c r="J29" i="4"/>
  <c r="G58" i="4"/>
  <c r="M38" i="4"/>
  <c r="J58" i="4"/>
  <c r="G38" i="4"/>
  <c r="L58" i="4"/>
  <c r="K38" i="4"/>
  <c r="F58" i="4"/>
  <c r="K29" i="4"/>
  <c r="E58" i="4"/>
  <c r="M29" i="4"/>
  <c r="J48" i="4"/>
  <c r="L48" i="4"/>
  <c r="H48" i="4"/>
  <c r="D38" i="4"/>
  <c r="M58" i="4"/>
  <c r="E48" i="4"/>
  <c r="J38" i="4"/>
  <c r="F38" i="4"/>
  <c r="H58" i="4"/>
  <c r="K48" i="4"/>
  <c r="H38" i="4"/>
  <c r="E38" i="4"/>
  <c r="L29" i="4"/>
  <c r="F48" i="4"/>
  <c r="G29" i="4"/>
  <c r="F29" i="4"/>
  <c r="H29" i="4"/>
  <c r="M48" i="4"/>
  <c r="K58" i="4"/>
  <c r="E29" i="4"/>
  <c r="D48" i="4"/>
  <c r="I58" i="4"/>
  <c r="D29" i="4"/>
  <c r="D58" i="4"/>
  <c r="I29" i="4"/>
  <c r="I38" i="4"/>
  <c r="K21" i="4"/>
  <c r="M20" i="4"/>
  <c r="L20" i="4"/>
  <c r="I46" i="4"/>
  <c r="D56" i="4"/>
  <c r="M56" i="4"/>
  <c r="L36" i="4"/>
  <c r="M21" i="4"/>
  <c r="J56" i="4"/>
  <c r="G36" i="4"/>
  <c r="F46" i="4"/>
  <c r="K46" i="4"/>
  <c r="F56" i="4"/>
  <c r="K20" i="4"/>
  <c r="F36" i="4"/>
  <c r="H46" i="4"/>
  <c r="D36" i="4"/>
  <c r="L56" i="4"/>
  <c r="M46" i="4"/>
  <c r="E56" i="4"/>
  <c r="H56" i="4"/>
  <c r="E36" i="4"/>
  <c r="F21" i="4"/>
  <c r="G20" i="4"/>
  <c r="J46" i="4"/>
  <c r="E46" i="4"/>
  <c r="L46" i="4"/>
  <c r="I56" i="4"/>
  <c r="F20" i="4"/>
  <c r="D20" i="4"/>
  <c r="G21" i="4"/>
  <c r="H36" i="4"/>
  <c r="J36" i="4"/>
  <c r="G46" i="4"/>
  <c r="E21" i="4"/>
  <c r="G56" i="4"/>
  <c r="E20" i="4"/>
  <c r="H20" i="4"/>
  <c r="J21" i="4"/>
  <c r="D46" i="4"/>
  <c r="I21" i="4"/>
  <c r="L21" i="4"/>
  <c r="I36" i="4"/>
  <c r="H21" i="4"/>
  <c r="K36" i="4"/>
  <c r="M36" i="4"/>
  <c r="J20" i="4"/>
  <c r="K56" i="4"/>
  <c r="I20" i="4"/>
  <c r="D21" i="4"/>
  <c r="N58" i="2"/>
  <c r="N40" i="2"/>
  <c r="D57" i="12"/>
  <c r="D60" i="12"/>
  <c r="D61" i="12"/>
  <c r="D59" i="12"/>
  <c r="D58" i="12"/>
  <c r="E63" i="2"/>
  <c r="D63" i="2"/>
  <c r="E53" i="2"/>
  <c r="C59" i="2"/>
  <c r="C63" i="2"/>
  <c r="C61" i="2"/>
  <c r="K14" i="4" l="1"/>
  <c r="K15" i="4" s="1"/>
  <c r="I7" i="13" s="1"/>
  <c r="J14" i="4"/>
  <c r="J15" i="4" s="1"/>
  <c r="H7" i="13" s="1"/>
  <c r="G14" i="4"/>
  <c r="G15" i="4" s="1"/>
  <c r="E7" i="13" s="1"/>
  <c r="I14" i="4"/>
  <c r="I15" i="4" s="1"/>
  <c r="G7" i="13" s="1"/>
  <c r="E14" i="4"/>
  <c r="E15" i="4" s="1"/>
  <c r="C7" i="13" s="1"/>
  <c r="D14" i="4"/>
  <c r="D15" i="4" s="1"/>
  <c r="B7" i="13" s="1"/>
  <c r="F14" i="4"/>
  <c r="F15" i="4" s="1"/>
  <c r="D7" i="13" s="1"/>
  <c r="H14" i="4"/>
  <c r="H15" i="4" s="1"/>
  <c r="F7" i="13" s="1"/>
  <c r="M14" i="4"/>
  <c r="M15" i="4" s="1"/>
  <c r="K7" i="13" s="1"/>
  <c r="H16" i="9"/>
  <c r="J16" i="9"/>
  <c r="L16" i="9"/>
  <c r="F16" i="9"/>
  <c r="E16" i="9"/>
  <c r="M16" i="9"/>
  <c r="I16" i="9"/>
  <c r="G16" i="9"/>
  <c r="K16" i="9"/>
  <c r="D16" i="9"/>
  <c r="E22" i="12"/>
  <c r="H22" i="12"/>
  <c r="G22" i="12"/>
  <c r="I22" i="12"/>
  <c r="D22" i="12"/>
  <c r="J22" i="12"/>
  <c r="K22" i="12"/>
  <c r="L22" i="12"/>
  <c r="M22" i="12"/>
  <c r="F22" i="12"/>
  <c r="K18" i="9"/>
  <c r="I18" i="9"/>
  <c r="G18" i="9"/>
  <c r="L18" i="9"/>
  <c r="H18" i="9"/>
  <c r="J18" i="9"/>
  <c r="M18" i="9"/>
  <c r="F18" i="9"/>
  <c r="E18" i="9"/>
  <c r="D18" i="9"/>
  <c r="E17" i="9"/>
  <c r="G17" i="9"/>
  <c r="K17" i="9"/>
  <c r="M17" i="9"/>
  <c r="I17" i="9"/>
  <c r="F17" i="9"/>
  <c r="J17" i="9"/>
  <c r="L17" i="9"/>
  <c r="H17" i="9"/>
  <c r="D17" i="9"/>
  <c r="N61" i="2"/>
  <c r="N59" i="2"/>
  <c r="N63" i="2"/>
  <c r="D23" i="4"/>
  <c r="B8" i="13" s="1"/>
  <c r="L15" i="4"/>
  <c r="J7" i="13" s="1"/>
  <c r="F53" i="2"/>
  <c r="E43" i="12" l="1"/>
  <c r="M43" i="12"/>
  <c r="H43" i="12"/>
  <c r="F43" i="12"/>
  <c r="I43" i="12"/>
  <c r="G43" i="12"/>
  <c r="J43" i="12"/>
  <c r="K43" i="12"/>
  <c r="L43" i="12"/>
  <c r="D43" i="12"/>
  <c r="H42" i="12"/>
  <c r="E42" i="12"/>
  <c r="G42" i="12"/>
  <c r="I42" i="12"/>
  <c r="J42" i="12"/>
  <c r="K42" i="12"/>
  <c r="L42" i="12"/>
  <c r="M42" i="12"/>
  <c r="F42" i="12"/>
  <c r="D42" i="12"/>
  <c r="L45" i="12"/>
  <c r="G45" i="12"/>
  <c r="M45" i="12"/>
  <c r="H45" i="12"/>
  <c r="F45" i="12"/>
  <c r="E45" i="12"/>
  <c r="I45" i="12"/>
  <c r="J45" i="12"/>
  <c r="K45" i="12"/>
  <c r="D45" i="12"/>
  <c r="I44" i="12"/>
  <c r="J44" i="12"/>
  <c r="E44" i="12"/>
  <c r="K44" i="12"/>
  <c r="L44" i="12"/>
  <c r="M44" i="12"/>
  <c r="G44" i="12"/>
  <c r="H44" i="12"/>
  <c r="F44" i="12"/>
  <c r="D44" i="12"/>
  <c r="J12" i="12"/>
  <c r="K28" i="12"/>
  <c r="E12" i="12"/>
  <c r="M12" i="12"/>
  <c r="F28" i="12"/>
  <c r="I28" i="12"/>
  <c r="M28" i="12"/>
  <c r="H12" i="12"/>
  <c r="D28" i="12"/>
  <c r="L28" i="12"/>
  <c r="G28" i="12"/>
  <c r="K12" i="12"/>
  <c r="F12" i="12"/>
  <c r="I12" i="12"/>
  <c r="J28" i="12"/>
  <c r="G12" i="12"/>
  <c r="H28" i="12"/>
  <c r="L12" i="12"/>
  <c r="E28" i="12"/>
  <c r="D12" i="12"/>
  <c r="J14" i="12"/>
  <c r="L30" i="12"/>
  <c r="F30" i="12"/>
  <c r="G14" i="12"/>
  <c r="E30" i="12"/>
  <c r="H14" i="12"/>
  <c r="I30" i="12"/>
  <c r="F14" i="12"/>
  <c r="M30" i="12"/>
  <c r="K14" i="12"/>
  <c r="E14" i="12"/>
  <c r="G30" i="12"/>
  <c r="J30" i="12"/>
  <c r="D14" i="12"/>
  <c r="I14" i="12"/>
  <c r="L14" i="12"/>
  <c r="D30" i="12"/>
  <c r="K30" i="12"/>
  <c r="H30" i="12"/>
  <c r="M14" i="12"/>
  <c r="G36" i="12"/>
  <c r="I36" i="12"/>
  <c r="L36" i="12"/>
  <c r="I20" i="12"/>
  <c r="D36" i="12"/>
  <c r="F20" i="12"/>
  <c r="H36" i="12"/>
  <c r="K20" i="12"/>
  <c r="E36" i="12"/>
  <c r="D20" i="12"/>
  <c r="J20" i="12"/>
  <c r="J36" i="12"/>
  <c r="E20" i="12"/>
  <c r="L20" i="12"/>
  <c r="F36" i="12"/>
  <c r="M36" i="12"/>
  <c r="K36" i="12"/>
  <c r="H20" i="12"/>
  <c r="G20" i="12"/>
  <c r="M20" i="12"/>
  <c r="H12" i="9"/>
  <c r="I12" i="9"/>
  <c r="J12" i="9"/>
  <c r="E12" i="9"/>
  <c r="K12" i="9"/>
  <c r="L12" i="9"/>
  <c r="F12" i="9"/>
  <c r="M12" i="9"/>
  <c r="G12" i="9"/>
  <c r="D12" i="9"/>
  <c r="H13" i="9"/>
  <c r="L13" i="9"/>
  <c r="E13" i="9"/>
  <c r="J13" i="9"/>
  <c r="F13" i="9"/>
  <c r="I13" i="9"/>
  <c r="K13" i="9"/>
  <c r="G13" i="9"/>
  <c r="M13" i="9"/>
  <c r="D13" i="9"/>
  <c r="H47" i="12"/>
  <c r="F47" i="12"/>
  <c r="I47" i="12"/>
  <c r="J47" i="12"/>
  <c r="K47" i="12"/>
  <c r="G47" i="12"/>
  <c r="L47" i="12"/>
  <c r="E47" i="12"/>
  <c r="M47" i="12"/>
  <c r="D47" i="12"/>
  <c r="J49" i="12"/>
  <c r="K49" i="12"/>
  <c r="L49" i="12"/>
  <c r="M49" i="12"/>
  <c r="H49" i="12"/>
  <c r="F49" i="12"/>
  <c r="E49" i="12"/>
  <c r="I49" i="12"/>
  <c r="G49" i="12"/>
  <c r="D49" i="12"/>
  <c r="L50" i="12"/>
  <c r="D50" i="12"/>
  <c r="M50" i="12"/>
  <c r="G50" i="12"/>
  <c r="H50" i="12"/>
  <c r="F50" i="12"/>
  <c r="I50" i="12"/>
  <c r="E50" i="12"/>
  <c r="J50" i="12"/>
  <c r="K50" i="12"/>
  <c r="J46" i="12"/>
  <c r="K46" i="12"/>
  <c r="M46" i="12"/>
  <c r="E46" i="12"/>
  <c r="I46" i="12"/>
  <c r="L46" i="12"/>
  <c r="G46" i="12"/>
  <c r="F46" i="12"/>
  <c r="H46" i="12"/>
  <c r="D46" i="12"/>
  <c r="H62" i="12"/>
  <c r="G62" i="12"/>
  <c r="I62" i="12"/>
  <c r="J62" i="12"/>
  <c r="K62" i="12"/>
  <c r="D62" i="12"/>
  <c r="L62" i="12"/>
  <c r="M62" i="12"/>
  <c r="F62" i="12"/>
  <c r="E62" i="12"/>
  <c r="F31" i="4"/>
  <c r="D9" i="13" s="1"/>
  <c r="D51" i="4"/>
  <c r="B11" i="13" s="1"/>
  <c r="D31" i="4"/>
  <c r="B9" i="13" s="1"/>
  <c r="M61" i="4"/>
  <c r="K12" i="13" s="1"/>
  <c r="H51" i="4"/>
  <c r="F11" i="13" s="1"/>
  <c r="D61" i="4"/>
  <c r="B12" i="13" s="1"/>
  <c r="F23" i="4"/>
  <c r="D8" i="13" s="1"/>
  <c r="K23" i="4"/>
  <c r="I8" i="13" s="1"/>
  <c r="E23" i="4"/>
  <c r="C8" i="13" s="1"/>
  <c r="G23" i="4"/>
  <c r="E8" i="13" s="1"/>
  <c r="J23" i="4"/>
  <c r="H8" i="13" s="1"/>
  <c r="H23" i="4"/>
  <c r="F8" i="13" s="1"/>
  <c r="G41" i="4"/>
  <c r="E10" i="13" s="1"/>
  <c r="I23" i="4"/>
  <c r="G8" i="13" s="1"/>
  <c r="L23" i="4"/>
  <c r="J8" i="13" s="1"/>
  <c r="M23" i="4"/>
  <c r="K8" i="13" s="1"/>
  <c r="I41" i="4"/>
  <c r="G10" i="13" s="1"/>
  <c r="J41" i="4"/>
  <c r="H10" i="13" s="1"/>
  <c r="F41" i="4"/>
  <c r="D10" i="13" s="1"/>
  <c r="E51" i="4"/>
  <c r="C11" i="13" s="1"/>
  <c r="K41" i="4"/>
  <c r="I10" i="13" s="1"/>
  <c r="K51" i="4"/>
  <c r="I11" i="13" s="1"/>
  <c r="D41" i="4"/>
  <c r="B10" i="13" s="1"/>
  <c r="I51" i="4"/>
  <c r="G11" i="13" s="1"/>
  <c r="L61" i="4"/>
  <c r="J12" i="13" s="1"/>
  <c r="L41" i="4"/>
  <c r="J10" i="13" s="1"/>
  <c r="M31" i="4"/>
  <c r="K9" i="13" s="1"/>
  <c r="K31" i="4"/>
  <c r="I9" i="13" s="1"/>
  <c r="M41" i="4"/>
  <c r="K10" i="13" s="1"/>
  <c r="G61" i="4"/>
  <c r="E12" i="13" s="1"/>
  <c r="M51" i="4"/>
  <c r="K11" i="13" s="1"/>
  <c r="J51" i="4"/>
  <c r="H11" i="13" s="1"/>
  <c r="G31" i="4"/>
  <c r="E9" i="13" s="1"/>
  <c r="H31" i="4"/>
  <c r="F9" i="13" s="1"/>
  <c r="F51" i="4"/>
  <c r="D11" i="13" s="1"/>
  <c r="H41" i="4"/>
  <c r="F10" i="13" s="1"/>
  <c r="H61" i="4"/>
  <c r="F12" i="13" s="1"/>
  <c r="J61" i="4"/>
  <c r="H12" i="13" s="1"/>
  <c r="E61" i="4"/>
  <c r="C12" i="13" s="1"/>
  <c r="L31" i="4"/>
  <c r="J9" i="13" s="1"/>
  <c r="I61" i="4"/>
  <c r="G12" i="13" s="1"/>
  <c r="I31" i="4"/>
  <c r="G9" i="13" s="1"/>
  <c r="F61" i="4"/>
  <c r="D12" i="13" s="1"/>
  <c r="L51" i="4"/>
  <c r="J11" i="13" s="1"/>
  <c r="E31" i="4"/>
  <c r="C9" i="13" s="1"/>
  <c r="J31" i="4"/>
  <c r="H9" i="13" s="1"/>
  <c r="E41" i="4"/>
  <c r="C10" i="13" s="1"/>
  <c r="K61" i="4"/>
  <c r="I12" i="13" s="1"/>
  <c r="G53" i="2"/>
  <c r="I13" i="13" l="1"/>
  <c r="I31" i="13" s="1"/>
  <c r="E14" i="9"/>
  <c r="G14" i="9"/>
  <c r="H14" i="9"/>
  <c r="I14" i="9"/>
  <c r="J14" i="9"/>
  <c r="M14" i="9"/>
  <c r="K14" i="9"/>
  <c r="F14" i="9"/>
  <c r="L14" i="9"/>
  <c r="D14" i="9"/>
  <c r="K13" i="13"/>
  <c r="K31" i="13" s="1"/>
  <c r="J13" i="13"/>
  <c r="J31" i="13" s="1"/>
  <c r="F13" i="13"/>
  <c r="F31" i="13" s="1"/>
  <c r="H13" i="13"/>
  <c r="H31" i="13" s="1"/>
  <c r="G13" i="13"/>
  <c r="G31" i="13" s="1"/>
  <c r="D13" i="13"/>
  <c r="B13" i="13"/>
  <c r="C13" i="13"/>
  <c r="H53" i="2"/>
  <c r="I53" i="2" l="1"/>
  <c r="D15" i="14"/>
  <c r="F27" i="12" l="1"/>
  <c r="I27" i="12"/>
  <c r="L27" i="12"/>
  <c r="H11" i="12"/>
  <c r="K11" i="12"/>
  <c r="G11" i="12"/>
  <c r="J27" i="12"/>
  <c r="G27" i="12"/>
  <c r="E27" i="12"/>
  <c r="I11" i="12"/>
  <c r="L11" i="12"/>
  <c r="M27" i="12"/>
  <c r="K27" i="12"/>
  <c r="H27" i="12"/>
  <c r="D27" i="12"/>
  <c r="J11" i="12"/>
  <c r="M11" i="12"/>
  <c r="D11" i="12"/>
  <c r="F11" i="12"/>
  <c r="E11" i="12"/>
  <c r="D55" i="12"/>
  <c r="M55" i="12"/>
  <c r="H55" i="12"/>
  <c r="F55" i="12"/>
  <c r="I55" i="12"/>
  <c r="J55" i="12"/>
  <c r="K55" i="12"/>
  <c r="G55" i="12"/>
  <c r="L55" i="12"/>
  <c r="E55" i="12"/>
  <c r="J53" i="2"/>
  <c r="B4" i="14"/>
  <c r="K53" i="2" l="1"/>
  <c r="M21" i="9" l="1"/>
  <c r="K24" i="13" s="1"/>
  <c r="F21" i="9"/>
  <c r="D24" i="13" s="1"/>
  <c r="D21" i="9"/>
  <c r="B24" i="13" s="1"/>
  <c r="I21" i="9"/>
  <c r="G24" i="13" s="1"/>
  <c r="G21" i="9"/>
  <c r="E24" i="13" s="1"/>
  <c r="E21" i="9"/>
  <c r="C24" i="13" s="1"/>
  <c r="J21" i="9"/>
  <c r="H24" i="13" s="1"/>
  <c r="H21" i="9"/>
  <c r="F24" i="13" s="1"/>
  <c r="K21" i="9"/>
  <c r="I24" i="13" s="1"/>
  <c r="L21" i="9"/>
  <c r="J24" i="13" s="1"/>
  <c r="L53" i="2"/>
  <c r="F34" i="12" l="1"/>
  <c r="K18" i="12"/>
  <c r="F18" i="12"/>
  <c r="H18" i="12"/>
  <c r="D34" i="12"/>
  <c r="E18" i="12"/>
  <c r="M34" i="12"/>
  <c r="J34" i="12"/>
  <c r="G18" i="12"/>
  <c r="G34" i="12"/>
  <c r="L18" i="12"/>
  <c r="D18" i="12"/>
  <c r="I18" i="12"/>
  <c r="K34" i="12"/>
  <c r="H34" i="12"/>
  <c r="M18" i="12"/>
  <c r="J18" i="12"/>
  <c r="L34" i="12"/>
  <c r="I34" i="12"/>
  <c r="E34" i="12"/>
  <c r="G33" i="12"/>
  <c r="K17" i="12"/>
  <c r="D33" i="12"/>
  <c r="J33" i="12"/>
  <c r="I17" i="12"/>
  <c r="L17" i="12"/>
  <c r="D17" i="12"/>
  <c r="G17" i="12"/>
  <c r="F33" i="12"/>
  <c r="M33" i="12"/>
  <c r="K33" i="12"/>
  <c r="E33" i="12"/>
  <c r="H33" i="12"/>
  <c r="M17" i="12"/>
  <c r="H17" i="12"/>
  <c r="J17" i="12"/>
  <c r="L33" i="12"/>
  <c r="E17" i="12"/>
  <c r="I33" i="12"/>
  <c r="F17" i="12"/>
  <c r="J48" i="12"/>
  <c r="E48" i="12"/>
  <c r="K48" i="12"/>
  <c r="L48" i="12"/>
  <c r="M48" i="12"/>
  <c r="H48" i="12"/>
  <c r="F48" i="12"/>
  <c r="G48" i="12"/>
  <c r="I48" i="12"/>
  <c r="D48" i="12"/>
  <c r="H35" i="12"/>
  <c r="M35" i="12"/>
  <c r="J19" i="12"/>
  <c r="K35" i="12"/>
  <c r="I35" i="12"/>
  <c r="D35" i="12"/>
  <c r="K19" i="12"/>
  <c r="M19" i="12"/>
  <c r="F35" i="12"/>
  <c r="J35" i="12"/>
  <c r="D19" i="12"/>
  <c r="H19" i="12"/>
  <c r="E35" i="12"/>
  <c r="G19" i="12"/>
  <c r="G35" i="12"/>
  <c r="L19" i="12"/>
  <c r="L35" i="12"/>
  <c r="I19" i="12"/>
  <c r="E19" i="12"/>
  <c r="F19" i="12"/>
  <c r="M32" i="9"/>
  <c r="K25" i="13" s="1"/>
  <c r="E32" i="9"/>
  <c r="C25" i="13" s="1"/>
  <c r="J32" i="9"/>
  <c r="H25" i="13" s="1"/>
  <c r="H32" i="9"/>
  <c r="F25" i="13" s="1"/>
  <c r="F32" i="9"/>
  <c r="D25" i="13" s="1"/>
  <c r="I43" i="9"/>
  <c r="G26" i="13" s="1"/>
  <c r="J43" i="9"/>
  <c r="H26" i="13" s="1"/>
  <c r="K43" i="9"/>
  <c r="I26" i="13" s="1"/>
  <c r="L43" i="9"/>
  <c r="J26" i="13" s="1"/>
  <c r="G43" i="9"/>
  <c r="E26" i="13" s="1"/>
  <c r="D43" i="9"/>
  <c r="B26" i="13" s="1"/>
  <c r="F43" i="9"/>
  <c r="D26" i="13" s="1"/>
  <c r="H43" i="9"/>
  <c r="F26" i="13" s="1"/>
  <c r="M43" i="9"/>
  <c r="K26" i="13" s="1"/>
  <c r="E43" i="9"/>
  <c r="C26" i="13" s="1"/>
  <c r="L32" i="9"/>
  <c r="J25" i="13" s="1"/>
  <c r="K32" i="9"/>
  <c r="I25" i="13" s="1"/>
  <c r="G32" i="9"/>
  <c r="E25" i="13" s="1"/>
  <c r="I32" i="9"/>
  <c r="G25" i="13" s="1"/>
  <c r="D32" i="9"/>
  <c r="B25" i="13" s="1"/>
  <c r="K63" i="12"/>
  <c r="I19" i="13" s="1"/>
  <c r="J63" i="12"/>
  <c r="H19" i="13" s="1"/>
  <c r="L63" i="12"/>
  <c r="J19" i="13" s="1"/>
  <c r="M63" i="12"/>
  <c r="K19" i="13" s="1"/>
  <c r="F63" i="12"/>
  <c r="D19" i="13" s="1"/>
  <c r="G63" i="12"/>
  <c r="E19" i="13" s="1"/>
  <c r="I63" i="12"/>
  <c r="G19" i="13" s="1"/>
  <c r="H63" i="12"/>
  <c r="F19" i="13" s="1"/>
  <c r="E63" i="12"/>
  <c r="C19" i="13" s="1"/>
  <c r="D63" i="12"/>
  <c r="B19" i="13" s="1"/>
  <c r="I27" i="13" l="1"/>
  <c r="I35" i="13" s="1"/>
  <c r="E27" i="13"/>
  <c r="E35" i="13" s="1"/>
  <c r="F27" i="13"/>
  <c r="F35" i="13" s="1"/>
  <c r="G27" i="13"/>
  <c r="G35" i="13" s="1"/>
  <c r="H27" i="13"/>
  <c r="H35" i="13" s="1"/>
  <c r="K27" i="13"/>
  <c r="K35" i="13" s="1"/>
  <c r="J27" i="13"/>
  <c r="J35" i="13" s="1"/>
  <c r="D38" i="12"/>
  <c r="B17" i="13" s="1"/>
  <c r="E38" i="12"/>
  <c r="C17" i="13" s="1"/>
  <c r="C27" i="13"/>
  <c r="D27" i="13"/>
  <c r="F51" i="12"/>
  <c r="D18" i="13" s="1"/>
  <c r="H51" i="12"/>
  <c r="F18" i="13" s="1"/>
  <c r="E51" i="12"/>
  <c r="C18" i="13" s="1"/>
  <c r="I51" i="12"/>
  <c r="G18" i="13" s="1"/>
  <c r="L51" i="12"/>
  <c r="J18" i="13" s="1"/>
  <c r="J51" i="12"/>
  <c r="H18" i="13" s="1"/>
  <c r="K51" i="12"/>
  <c r="I18" i="13" s="1"/>
  <c r="M51" i="12"/>
  <c r="K18" i="13" s="1"/>
  <c r="G51" i="12"/>
  <c r="E18" i="13" s="1"/>
  <c r="L38" i="12"/>
  <c r="J17" i="13" s="1"/>
  <c r="F38" i="12"/>
  <c r="D17" i="13" s="1"/>
  <c r="G38" i="12"/>
  <c r="E17" i="13" s="1"/>
  <c r="H38" i="12"/>
  <c r="F17" i="13" s="1"/>
  <c r="I38" i="12"/>
  <c r="G17" i="13" s="1"/>
  <c r="J38" i="12"/>
  <c r="H17" i="13" s="1"/>
  <c r="K38" i="12"/>
  <c r="I17" i="13" s="1"/>
  <c r="M38" i="12"/>
  <c r="K17" i="13" s="1"/>
  <c r="I23" i="12"/>
  <c r="G16" i="13" s="1"/>
  <c r="H23" i="12"/>
  <c r="F16" i="13" s="1"/>
  <c r="J23" i="12"/>
  <c r="H16" i="13" s="1"/>
  <c r="K23" i="12"/>
  <c r="I16" i="13" s="1"/>
  <c r="M23" i="12"/>
  <c r="K16" i="13" s="1"/>
  <c r="F23" i="12"/>
  <c r="D16" i="13" s="1"/>
  <c r="L23" i="12"/>
  <c r="J16" i="13" s="1"/>
  <c r="E23" i="12"/>
  <c r="C16" i="13" s="1"/>
  <c r="G23" i="12"/>
  <c r="E16" i="13" s="1"/>
  <c r="B30" i="13"/>
  <c r="C30" i="13" s="1"/>
  <c r="D30" i="13" s="1"/>
  <c r="E30" i="13" s="1"/>
  <c r="F30" i="13" s="1"/>
  <c r="G30" i="13" s="1"/>
  <c r="H30" i="13" s="1"/>
  <c r="I30" i="13" s="1"/>
  <c r="J30" i="13" s="1"/>
  <c r="K30" i="13" s="1"/>
  <c r="B4" i="13"/>
  <c r="C4" i="13" s="1"/>
  <c r="D4" i="13" s="1"/>
  <c r="E4" i="13" s="1"/>
  <c r="F4" i="13" s="1"/>
  <c r="G4" i="13" s="1"/>
  <c r="H4" i="13" s="1"/>
  <c r="I4" i="13" s="1"/>
  <c r="J4" i="13" s="1"/>
  <c r="K4" i="13" s="1"/>
  <c r="D9" i="12"/>
  <c r="E9" i="12" s="1"/>
  <c r="F9" i="12" s="1"/>
  <c r="G9" i="12" s="1"/>
  <c r="H9" i="12" s="1"/>
  <c r="I9" i="12" s="1"/>
  <c r="J9" i="12" s="1"/>
  <c r="K9" i="12" s="1"/>
  <c r="L9" i="12" s="1"/>
  <c r="M9" i="12" s="1"/>
  <c r="E20" i="13" l="1"/>
  <c r="E33" i="13" s="1"/>
  <c r="K20" i="13"/>
  <c r="K33" i="13" s="1"/>
  <c r="K37" i="13" s="1"/>
  <c r="K32" i="13" s="1"/>
  <c r="G20" i="13"/>
  <c r="G33" i="13" s="1"/>
  <c r="G37" i="13" s="1"/>
  <c r="I20" i="13"/>
  <c r="I33" i="13" s="1"/>
  <c r="H20" i="13"/>
  <c r="H33" i="13" s="1"/>
  <c r="F20" i="13"/>
  <c r="F33" i="13" s="1"/>
  <c r="J20" i="13"/>
  <c r="J33" i="13" s="1"/>
  <c r="D20" i="13"/>
  <c r="G51" i="4"/>
  <c r="E11" i="13" s="1"/>
  <c r="E13" i="13" s="1"/>
  <c r="E31" i="13" s="1"/>
  <c r="C20" i="13"/>
  <c r="D51" i="12"/>
  <c r="B18" i="13" s="1"/>
  <c r="D23" i="12"/>
  <c r="B16" i="13" s="1"/>
  <c r="K36" i="13" l="1"/>
  <c r="E37" i="13"/>
  <c r="E32" i="13" s="1"/>
  <c r="I37" i="13"/>
  <c r="F37" i="13"/>
  <c r="H37" i="13"/>
  <c r="J37" i="13"/>
  <c r="G32" i="13"/>
  <c r="G36" i="13"/>
  <c r="K34" i="13"/>
  <c r="G34" i="13"/>
  <c r="B20" i="13"/>
  <c r="C33" i="13"/>
  <c r="D33" i="13"/>
  <c r="H32" i="13" l="1"/>
  <c r="H36" i="13"/>
  <c r="I36" i="13"/>
  <c r="I32" i="13"/>
  <c r="I34" i="13"/>
  <c r="J32" i="13"/>
  <c r="J36" i="13"/>
  <c r="H34" i="13"/>
  <c r="F36" i="13"/>
  <c r="F32" i="13"/>
  <c r="F34" i="13"/>
  <c r="J34" i="13"/>
  <c r="E36" i="13"/>
  <c r="E34" i="13"/>
  <c r="B33" i="13"/>
  <c r="D9" i="9" l="1"/>
  <c r="E9" i="9" s="1"/>
  <c r="F9" i="9" s="1"/>
  <c r="G9" i="9" s="1"/>
  <c r="H9" i="9" s="1"/>
  <c r="I9" i="9" s="1"/>
  <c r="J9" i="9" s="1"/>
  <c r="K9" i="9" s="1"/>
  <c r="L9" i="9" s="1"/>
  <c r="M9" i="9" s="1"/>
  <c r="D11" i="4" l="1"/>
  <c r="E11" i="4" s="1"/>
  <c r="F11" i="4" s="1"/>
  <c r="G11" i="4" s="1"/>
  <c r="H11" i="4" s="1"/>
  <c r="I11" i="4" s="1"/>
  <c r="J11" i="4" s="1"/>
  <c r="K11" i="4" s="1"/>
  <c r="L11" i="4" s="1"/>
  <c r="M11" i="4" s="1"/>
  <c r="B27" i="13" l="1"/>
  <c r="B35" i="13" s="1"/>
  <c r="C35" i="13"/>
  <c r="D35" i="13"/>
  <c r="C31" i="13" l="1"/>
  <c r="C37" i="13" s="1"/>
  <c r="B31" i="13"/>
  <c r="B37" i="13" s="1"/>
  <c r="B32" i="13" s="1"/>
  <c r="D31" i="13"/>
  <c r="D37" i="13" s="1"/>
  <c r="D32" i="13" l="1"/>
  <c r="C32" i="13"/>
  <c r="D34" i="13" l="1"/>
  <c r="D36" i="13"/>
  <c r="C34" i="13"/>
  <c r="C36" i="13"/>
  <c r="B34" i="13"/>
  <c r="B36" i="13"/>
</calcChain>
</file>

<file path=xl/sharedStrings.xml><?xml version="1.0" encoding="utf-8"?>
<sst xmlns="http://schemas.openxmlformats.org/spreadsheetml/2006/main" count="879" uniqueCount="461">
  <si>
    <t>TOOL GUIDE</t>
  </si>
  <si>
    <t>DATA ENTRY</t>
  </si>
  <si>
    <t>WORKSHEETS</t>
  </si>
  <si>
    <t>DATA ENTRY?</t>
  </si>
  <si>
    <t>DESCRIPTION</t>
  </si>
  <si>
    <t xml:space="preserve">YELLOW </t>
  </si>
  <si>
    <t>Assumptions</t>
  </si>
  <si>
    <t>Yes</t>
  </si>
  <si>
    <t>* Note: data entry cells can be populated manually or they can use formulas to take data from other cells. For example the data for one year can be drawn from a previous year using a formula.</t>
  </si>
  <si>
    <t>BLUE</t>
  </si>
  <si>
    <t>No</t>
  </si>
  <si>
    <t>GREEN</t>
  </si>
  <si>
    <t>Notes and Assumptions</t>
  </si>
  <si>
    <t>Assumptions used in this costing tool</t>
  </si>
  <si>
    <t>References</t>
  </si>
  <si>
    <t>Source of data. These should be entered into the "references" worksheets as reference.</t>
  </si>
  <si>
    <t>ACRONYMS</t>
  </si>
  <si>
    <t>PASSWORD</t>
  </si>
  <si>
    <t>Number of Districts</t>
  </si>
  <si>
    <t>Start Year</t>
  </si>
  <si>
    <t>Currency used in model</t>
  </si>
  <si>
    <t>Local Currency</t>
  </si>
  <si>
    <t>MENU</t>
  </si>
  <si>
    <t>Unit costs</t>
  </si>
  <si>
    <t>Number of sessions (per year)</t>
  </si>
  <si>
    <t xml:space="preserve">Length of session (average number of days per session) </t>
  </si>
  <si>
    <t>Number of participants (per session)</t>
  </si>
  <si>
    <t>Number of participants requiring per diems (per session)</t>
  </si>
  <si>
    <t>Number of copies of training material (per session)</t>
  </si>
  <si>
    <t>2. ESTABLISH CAPACITY FOR CLINICAL MANAGEMENT OF PEDIATRIC TB</t>
  </si>
  <si>
    <t>2.1 ToT training for pediatric TB – National Trainers</t>
  </si>
  <si>
    <t>2.2 Regional TOT- training of regional Trainers</t>
  </si>
  <si>
    <t>Number of national trainers (average per course)</t>
  </si>
  <si>
    <t>Cost of regional training of trainers</t>
  </si>
  <si>
    <t>Cost of national training of trainers</t>
  </si>
  <si>
    <t>2.3 On -site training on pediatric TB (covering HCW from all child entry points)</t>
  </si>
  <si>
    <t>Cost of on-site training</t>
  </si>
  <si>
    <t>Name of Country</t>
  </si>
  <si>
    <t>Number of Provinces/Regions</t>
  </si>
  <si>
    <t>Number of Facilities</t>
  </si>
  <si>
    <t>USD</t>
  </si>
  <si>
    <t>ZWL</t>
  </si>
  <si>
    <t>Number of trainees (per session)</t>
  </si>
  <si>
    <t>Number of trainees requiring per diems (per session)</t>
  </si>
  <si>
    <t>Number of trainees per region (per year)</t>
  </si>
  <si>
    <t>Number of districts (or subdistricts)</t>
  </si>
  <si>
    <t>Number of facilities per district</t>
  </si>
  <si>
    <t>Air-time for remote support to the sites by the mentors</t>
  </si>
  <si>
    <t>RESULTS - TABLES</t>
  </si>
  <si>
    <t>Components</t>
  </si>
  <si>
    <t xml:space="preserve">6.1. Site mentorship and Supervision </t>
  </si>
  <si>
    <t xml:space="preserve">The workbook and work sheets are password-protected apart from the data-entry cells and sheets. This is to protect the user from making accidental errors in the structure or formulas. 
The password is available on request from …..
</t>
  </si>
  <si>
    <t xml:space="preserve"> </t>
  </si>
  <si>
    <t>Unit cost (table of contents)</t>
  </si>
  <si>
    <t>Other related relevant information</t>
  </si>
  <si>
    <t xml:space="preserve">Exchange rate of local currency to 1 US$ is : </t>
  </si>
  <si>
    <t>Abbreviated drug/supply name</t>
  </si>
  <si>
    <t>Year</t>
  </si>
  <si>
    <t>Per diems, fuel and other costs related to meetings/workshops/supervision visits</t>
  </si>
  <si>
    <t>Per person per day</t>
  </si>
  <si>
    <t>Transportation cost per participant</t>
  </si>
  <si>
    <t>per participant</t>
  </si>
  <si>
    <t>Room rental for the meeting, average size</t>
  </si>
  <si>
    <t>Per day</t>
  </si>
  <si>
    <t>Hotel per person and per day</t>
  </si>
  <si>
    <t>Stationary (typical cost per meeting)</t>
  </si>
  <si>
    <t>Per meeting</t>
  </si>
  <si>
    <t>Unit cost local currency</t>
  </si>
  <si>
    <t>Stationary</t>
  </si>
  <si>
    <t>Per diems for district staff</t>
  </si>
  <si>
    <t>Per diem for regional staff</t>
  </si>
  <si>
    <t>Per diem for facilitators</t>
  </si>
  <si>
    <t>Transportation cost per participant per day</t>
  </si>
  <si>
    <t>Snacks per participant</t>
  </si>
  <si>
    <t>Per person per day?</t>
  </si>
  <si>
    <t xml:space="preserve">Per person </t>
  </si>
  <si>
    <t>Per participant per day? Excludes trainers?</t>
  </si>
  <si>
    <t>Transportation cost (site mentorship  &amp; supervision)</t>
  </si>
  <si>
    <t>Site mentorship and supervision</t>
  </si>
  <si>
    <t xml:space="preserve">Per diems for facility staff </t>
  </si>
  <si>
    <t>Central training of trainers</t>
  </si>
  <si>
    <t>Per diem for participants</t>
  </si>
  <si>
    <t>Fee for facilitators for (excl. per diem)</t>
  </si>
  <si>
    <t>Regional training of trainers</t>
  </si>
  <si>
    <t>Transportation cost per facilitator</t>
  </si>
  <si>
    <t>On-site training</t>
  </si>
  <si>
    <t>Lunch and other conference needs</t>
  </si>
  <si>
    <t>Number of health districts to be trained (per year)</t>
  </si>
  <si>
    <t>Number of health facilities per district to be trained (per year)</t>
  </si>
  <si>
    <t>Hotel costs</t>
  </si>
  <si>
    <t xml:space="preserve">Refreshments and food </t>
  </si>
  <si>
    <t xml:space="preserve">Room rental </t>
  </si>
  <si>
    <t>Training materials</t>
  </si>
  <si>
    <t>Per diem (participants)</t>
  </si>
  <si>
    <t>Transportation (participants)</t>
  </si>
  <si>
    <t>Transportation (facilitators)</t>
  </si>
  <si>
    <t>Room rental</t>
  </si>
  <si>
    <t>Unit cost ($USD)</t>
  </si>
  <si>
    <t>per_diem_facility</t>
  </si>
  <si>
    <t>per_diem_district</t>
  </si>
  <si>
    <t>per_diem_regional</t>
  </si>
  <si>
    <t>room_rental_regional_ToT</t>
  </si>
  <si>
    <t>lunch_regional_ToT</t>
  </si>
  <si>
    <t>stationary_regional_ToT</t>
  </si>
  <si>
    <t>Number of days per site mentoring &amp; supervision</t>
  </si>
  <si>
    <t>Supervision fees</t>
  </si>
  <si>
    <t>supervision_fees</t>
  </si>
  <si>
    <t xml:space="preserve">M &amp; E </t>
  </si>
  <si>
    <t xml:space="preserve">Once off </t>
  </si>
  <si>
    <t>m&amp;e_fees</t>
  </si>
  <si>
    <t>Per diem MoH staff</t>
  </si>
  <si>
    <t>per_diem_MoH_staff_ms_v</t>
  </si>
  <si>
    <t>Per person</t>
  </si>
  <si>
    <t>airfare_mentorship</t>
  </si>
  <si>
    <t>Number of staff requiring air transportation</t>
  </si>
  <si>
    <t>Air fare or other (local)</t>
  </si>
  <si>
    <t>2.1 ToT for pediatric TB – National Trainers</t>
  </si>
  <si>
    <t>Workshop package</t>
  </si>
  <si>
    <t>Training material (per participant)</t>
  </si>
  <si>
    <t>Per participant</t>
  </si>
  <si>
    <t>workshop_package-regional_ToT</t>
  </si>
  <si>
    <t>hotel_cost_regional_ToT</t>
  </si>
  <si>
    <t>Snacks and allowance per participant</t>
  </si>
  <si>
    <t>2.1.1 ToT for pediatric TB – National Trainers(refresher)</t>
  </si>
  <si>
    <t>Lunch allowance</t>
  </si>
  <si>
    <t>hotel_mentorship</t>
  </si>
  <si>
    <t>room_rental_mentorship</t>
  </si>
  <si>
    <t>refreshments_mentorship</t>
  </si>
  <si>
    <t>Health worker refreshments</t>
  </si>
  <si>
    <t>nr_sessions_py_tot_c</t>
  </si>
  <si>
    <t>nr_days_per_session_tot_c</t>
  </si>
  <si>
    <t>nr_participants_tot_c</t>
  </si>
  <si>
    <t>nr_participants_per_diem_tot_c</t>
  </si>
  <si>
    <t>nr_faciliators_tot_c</t>
  </si>
  <si>
    <t>nr_faciliators_hotel_tot_c</t>
  </si>
  <si>
    <t>nr_participants_hotel_tot_c</t>
  </si>
  <si>
    <t>nr_training_materials_tot_c</t>
  </si>
  <si>
    <t>nr_sessions_tot_r</t>
  </si>
  <si>
    <t>nr_trainees_per_region_tot_r</t>
  </si>
  <si>
    <t>nr_participants_tot_r</t>
  </si>
  <si>
    <t>nr_days_per_session_tot_r</t>
  </si>
  <si>
    <t>nr_participants_per_diem_tot_r</t>
  </si>
  <si>
    <t>nr_faciliators_tot_r</t>
  </si>
  <si>
    <t>nr_participants_hotel_tot_r</t>
  </si>
  <si>
    <t>nr_faciliators_hotel_tot_r</t>
  </si>
  <si>
    <t>nr_training_materials_tot_r</t>
  </si>
  <si>
    <t>nr_trainees_per_region_tot_c_refresher</t>
  </si>
  <si>
    <t>nr_sessions_tot_c_refresher</t>
  </si>
  <si>
    <t>nr_days_per_session_tot_c_refresher</t>
  </si>
  <si>
    <t>nr_participants_per_diem_tot_c_refresher</t>
  </si>
  <si>
    <t>nr_faciliators_tot_c_refresher</t>
  </si>
  <si>
    <t>nr_participants_hotel_tot_c_refresher</t>
  </si>
  <si>
    <t>nr_faciliators_hotel_tot_c_refresher</t>
  </si>
  <si>
    <t>nr_training_materials_tot_c_refresher</t>
  </si>
  <si>
    <t>nr_days_per_session_onsite</t>
  </si>
  <si>
    <t>nr_training_materials_onsite</t>
  </si>
  <si>
    <t>2.1.1 ToT training for pediatric TB – National Trainers (refresher)</t>
  </si>
  <si>
    <t>nr_facilities_per_district</t>
  </si>
  <si>
    <t>nr_hcw_per_facility</t>
  </si>
  <si>
    <t>nr_sessions_per_year_onsite</t>
  </si>
  <si>
    <t>nr_moh_trainers_onsite</t>
  </si>
  <si>
    <t>nr_districts_to_be_trained</t>
  </si>
  <si>
    <t>nr_trainers_air_travel</t>
  </si>
  <si>
    <t>Per diem (HCW)</t>
  </si>
  <si>
    <t>Per diem (Trainers)</t>
  </si>
  <si>
    <t>Transportation (HCW)</t>
  </si>
  <si>
    <t>Transportation (Trainers)</t>
  </si>
  <si>
    <t>nr_districts_tot_r</t>
  </si>
  <si>
    <t>Per diem (facilitators)</t>
  </si>
  <si>
    <t>1. Development of pediatric TB training material</t>
  </si>
  <si>
    <t xml:space="preserve">Consultant fees </t>
  </si>
  <si>
    <t>hr_time_training_materials</t>
  </si>
  <si>
    <t>Cost of inception meeting for training materials</t>
  </si>
  <si>
    <t>Cost of workshop to finalize training materials</t>
  </si>
  <si>
    <t>Cost of workshop to review training materials</t>
  </si>
  <si>
    <t>Cost of workshop to validate training materials</t>
  </si>
  <si>
    <t>HR time for development of training material (in days)</t>
  </si>
  <si>
    <t>Length of workshop to review draft training materials (in days)</t>
  </si>
  <si>
    <t>Length of workshop to finalize training materials (in days)</t>
  </si>
  <si>
    <t>Length of workshop to validate training materials (in days)</t>
  </si>
  <si>
    <t>nr_in_brief_meetings</t>
  </si>
  <si>
    <t>nr_participants_per_in_brief_meeting</t>
  </si>
  <si>
    <t>nr_inception_meetings</t>
  </si>
  <si>
    <t>nr_participants_inception_meeting</t>
  </si>
  <si>
    <t>nr_days_workshop_draft</t>
  </si>
  <si>
    <t>nr_participants_workshop_draft</t>
  </si>
  <si>
    <t>nr_days_workshop_finalize</t>
  </si>
  <si>
    <t>nr_participants_workshop_finalize</t>
  </si>
  <si>
    <t>nr_days_workshop_validate</t>
  </si>
  <si>
    <t>nr_participants_workshop_validate</t>
  </si>
  <si>
    <t>Development of pediatric TB training material</t>
  </si>
  <si>
    <t>Development of pediatric TB training materials</t>
  </si>
  <si>
    <t>Consultant fee</t>
  </si>
  <si>
    <t xml:space="preserve">Meals and refreshments </t>
  </si>
  <si>
    <t>Per diem for national pediatric TB committee members</t>
  </si>
  <si>
    <t>Transportation cost</t>
  </si>
  <si>
    <t>consultant_fee_training_materials</t>
  </si>
  <si>
    <t>per_diem_pediatric_TB_committee</t>
  </si>
  <si>
    <t>transport_training_materials</t>
  </si>
  <si>
    <t>room_rental_training_materials</t>
  </si>
  <si>
    <t>refreshments_training_materials</t>
  </si>
  <si>
    <t>nr_consultants</t>
  </si>
  <si>
    <t>nr_facilities_m&amp;s</t>
  </si>
  <si>
    <t>Total cost consultant for developing training materials</t>
  </si>
  <si>
    <t>Cost of transportation (participants)</t>
  </si>
  <si>
    <t>TABLE 1. Development of pediatric TB training material</t>
  </si>
  <si>
    <t xml:space="preserve">1.3 Inception meeting with the national pediatric TB committee </t>
  </si>
  <si>
    <t xml:space="preserve">1.5 Consultant led workshop to finalize training material </t>
  </si>
  <si>
    <t>1.4 Consultant led workshop to review draft training materials</t>
  </si>
  <si>
    <t>1.6 Consultant led workshop to pretest / validate the  training materials</t>
  </si>
  <si>
    <t>Total development of pediatric TB training material</t>
  </si>
  <si>
    <t>Number of master trainers (average per course)</t>
  </si>
  <si>
    <t>Number of international facilitators (average per course)</t>
  </si>
  <si>
    <t>nr_int_faciliators_tot_c</t>
  </si>
  <si>
    <t>Per diem master trainers (local)</t>
  </si>
  <si>
    <t>Per diem international facilitators</t>
  </si>
  <si>
    <t>Transportation (international facilitators)</t>
  </si>
  <si>
    <t>International travel</t>
  </si>
  <si>
    <t>per person round trip</t>
  </si>
  <si>
    <t>nr_int_faciliators_tot_c_refresher</t>
  </si>
  <si>
    <t>6.1.2 National level mentoring and supervision visits to regions</t>
  </si>
  <si>
    <t>Number of national staff (per visit)</t>
  </si>
  <si>
    <t>Number of support staff (e.g driver per visit)</t>
  </si>
  <si>
    <t>Number of days per mentoring &amp; supervision</t>
  </si>
  <si>
    <t>Number of regional mentoring and supervision visits (per year)</t>
  </si>
  <si>
    <t>Number of regions (or provinces)</t>
  </si>
  <si>
    <t>nr_regions_m&amp;s</t>
  </si>
  <si>
    <t>nr_visits_regional_m&amp;s</t>
  </si>
  <si>
    <t>nr_days_regional_m&amp;s</t>
  </si>
  <si>
    <t>nr_nat_staff_regional_m&amp;s</t>
  </si>
  <si>
    <t>nr_supp_staff_regional_m&amp;s</t>
  </si>
  <si>
    <t>nr_staff_hotel_regional_m&amp;s</t>
  </si>
  <si>
    <t>nr_staff_air_trans_regional_m&amp;s</t>
  </si>
  <si>
    <t>Number of district mentoring and supervision visits (per year)</t>
  </si>
  <si>
    <t>Number of regional staff (per visit)</t>
  </si>
  <si>
    <t>Number of facility mentoring and supervision visits (per year)</t>
  </si>
  <si>
    <t>nr_districts_facility_m&amp;s</t>
  </si>
  <si>
    <t>nr_visits_facility_m&amp;s</t>
  </si>
  <si>
    <t>nr_days_facility_m&amp;s</t>
  </si>
  <si>
    <t>nr_district_staff_facility_m&amp;s</t>
  </si>
  <si>
    <t>nr_supp_staff_facility_m&amp;s</t>
  </si>
  <si>
    <t>nr_staff_hotel_facility_m&amp;s</t>
  </si>
  <si>
    <t>nr_districts_district_m&amp;s</t>
  </si>
  <si>
    <t>nr_visits_district_m&amp;s</t>
  </si>
  <si>
    <t>nr_days_district_m&amp;s</t>
  </si>
  <si>
    <t>nr_nat_staff_district_m&amp;s</t>
  </si>
  <si>
    <t>nr_supp_staff_district_m&amp;s</t>
  </si>
  <si>
    <t>nr_staff_hotel_district_m&amp;s</t>
  </si>
  <si>
    <t>nr_staff_air_trans_district_m&amp;s</t>
  </si>
  <si>
    <t>Number of district staff (per visit)</t>
  </si>
  <si>
    <t>Percentage of time spent on paediatric TB</t>
  </si>
  <si>
    <t>prop_paediatric_TB</t>
  </si>
  <si>
    <t>6.1.3 Regional level mentoring and supervision visits to districts</t>
  </si>
  <si>
    <t>6.1.4 District level mentoring and supervision visits to facilities</t>
  </si>
  <si>
    <t>Per diems for support staff</t>
  </si>
  <si>
    <t>Transportation cost (airfaire)</t>
  </si>
  <si>
    <t xml:space="preserve">Per diems for national staff </t>
  </si>
  <si>
    <t>Total cost of National level mentoring and supervision visits to regions</t>
  </si>
  <si>
    <t xml:space="preserve">Per diems for regional staff </t>
  </si>
  <si>
    <t>Total Pediatric TB Training Programme</t>
  </si>
  <si>
    <t>TABLE 2: Pediatric TB Training Programme</t>
  </si>
  <si>
    <t>TABLE 3: Site mentorship and supervision</t>
  </si>
  <si>
    <t>3.1.2 National level mentoring and supervision visits to regions</t>
  </si>
  <si>
    <t>3.1.3 Regional level mentoring and supervision visits to districts</t>
  </si>
  <si>
    <t>3.1.4 District level mentoring and supervision visits to facilities</t>
  </si>
  <si>
    <t>Total Site Mentorship and Supervision</t>
  </si>
  <si>
    <t>Total cost of District level mentoring and supervision visits to facilities</t>
  </si>
  <si>
    <t>Total cost of Regional level mentoring and supervision visits to districts</t>
  </si>
  <si>
    <t>% Development of pediatric TB training material</t>
  </si>
  <si>
    <t>Pediatric TB Training Programme</t>
  </si>
  <si>
    <t>% Pediatric TB Training Programme</t>
  </si>
  <si>
    <t xml:space="preserve">Site Mentorship and Supervision </t>
  </si>
  <si>
    <t xml:space="preserve">% Site Mentorship and Supervision </t>
  </si>
  <si>
    <t>TABLE 4: TOTAL PROGRAM COST BY COMPONENT</t>
  </si>
  <si>
    <t>TOTAL Paediatric TB Budget</t>
  </si>
  <si>
    <t>Assumption</t>
  </si>
  <si>
    <t>workshop_package_materials</t>
  </si>
  <si>
    <t>Per diem for national staff</t>
  </si>
  <si>
    <t>per_diem_national</t>
  </si>
  <si>
    <t>Per diem for other MoH staff</t>
  </si>
  <si>
    <t>per_diem_MoH_other</t>
  </si>
  <si>
    <t>hotel_workshop_materials</t>
  </si>
  <si>
    <t>transport_mentorship_regional</t>
  </si>
  <si>
    <t>transport_mentorship_district</t>
  </si>
  <si>
    <t>transport_mentorship_facility</t>
  </si>
  <si>
    <t>lunch_mentorship</t>
  </si>
  <si>
    <t>Transportation cost (rto egional mentorship  &amp; supervision visit)</t>
  </si>
  <si>
    <t>Transportation cost (to district mentorship  &amp; supervision visit)</t>
  </si>
  <si>
    <t>Transportation cost (to facility mentorship  &amp; supervision visit)</t>
  </si>
  <si>
    <t>Supervison fees</t>
  </si>
  <si>
    <t>per visit</t>
  </si>
  <si>
    <t>stationary_mentorship</t>
  </si>
  <si>
    <t>Per diem for natioanl facilitators</t>
  </si>
  <si>
    <t>per_diem_participants_central_ToT</t>
  </si>
  <si>
    <t>per_diem_facilitators_central_ToT</t>
  </si>
  <si>
    <t>facilitation_fee_central_ToT</t>
  </si>
  <si>
    <t>per_diem_int_facilitator_central_ToT</t>
  </si>
  <si>
    <t>transport_participant_central_ToT</t>
  </si>
  <si>
    <t>transport_facilitator_central_ToT</t>
  </si>
  <si>
    <t>international_travel_central_ToT</t>
  </si>
  <si>
    <t>room_rental_central_ToT</t>
  </si>
  <si>
    <t>hotel_cost_central_ToT</t>
  </si>
  <si>
    <t>snacks_central_ToT</t>
  </si>
  <si>
    <t>stationary_central_ToT</t>
  </si>
  <si>
    <t>workshop_package_central_ToT</t>
  </si>
  <si>
    <t>training_material_central_ToT</t>
  </si>
  <si>
    <t>Transportation cost for MoH trainers</t>
  </si>
  <si>
    <t>per_diem_facilitators_regional_ToT</t>
  </si>
  <si>
    <t>per_diem_participants_regional_ToT</t>
  </si>
  <si>
    <t>transport_facilitator_regional_ToT</t>
  </si>
  <si>
    <t>transport_participant_regional_ToT</t>
  </si>
  <si>
    <t>Per diem for MoH facility staff</t>
  </si>
  <si>
    <t>per_diem_facility_staff_onsite_training</t>
  </si>
  <si>
    <t>Per diem for MoH trainers</t>
  </si>
  <si>
    <t>per_diem_MoH_trainers_onsite_training</t>
  </si>
  <si>
    <t>transport_facility_staff_onsite_training</t>
  </si>
  <si>
    <t>transport_MoH_trainers_onsite_training</t>
  </si>
  <si>
    <t>airfare_MoH_trainers_onsite_training</t>
  </si>
  <si>
    <t>room_rental_onsite_training</t>
  </si>
  <si>
    <t>snacks_onsite_training</t>
  </si>
  <si>
    <t>stationary_onsite_training</t>
  </si>
  <si>
    <t>workshop_package_onsite_training</t>
  </si>
  <si>
    <t>hotel_cost_onsite_training</t>
  </si>
  <si>
    <t>nr_moh_trainers_hotel_onsite</t>
  </si>
  <si>
    <t>nr_hcw_transport_reimbursed_onsite</t>
  </si>
  <si>
    <t>onsite_training_venue_needed</t>
  </si>
  <si>
    <t>User defined unit cost ($USD)</t>
  </si>
  <si>
    <t>I. Training materials</t>
  </si>
  <si>
    <t>II. Training programs</t>
  </si>
  <si>
    <t>III. Site mentorship &amp; supervision</t>
  </si>
  <si>
    <t>Paediatric TB Training Budgeting  TOOL Version 1.0</t>
  </si>
  <si>
    <t>Paediatric TB Training Budgeting TOOL Version 1.0</t>
  </si>
  <si>
    <t>Summary reports will automatically be generated in the blue worksheets.</t>
  </si>
  <si>
    <t>1.1 Consultant fees (Hiring a consultant to develop training material)</t>
  </si>
  <si>
    <t>1.3 Inception meeting with the relevant technical working group or committee to discuss and finalize the work plan and methodology/ review processes</t>
  </si>
  <si>
    <t xml:space="preserve">1.4 Review workshop - to present the draft training materials (including job aides) to the national pediatric TB committee </t>
  </si>
  <si>
    <t>1.5 Workshop with the consultant and NTP to finalize training material and incorporate feedback received during the workshop</t>
  </si>
  <si>
    <t>1.6 Workshop to pretest / validate the  training materials (including job aides)</t>
  </si>
  <si>
    <t xml:space="preserve">1.2 Briefing meeting at the NTP with consultant </t>
  </si>
  <si>
    <t xml:space="preserve">Cost of briefing meetingwith consultant at the NTP </t>
  </si>
  <si>
    <t>Number of consultants developing paediatric TB training materials</t>
  </si>
  <si>
    <t xml:space="preserve">Number of briefing meetings at the NTP with consultant </t>
  </si>
  <si>
    <t>Number of participants (NTP + consultant) in the briefing meeting</t>
  </si>
  <si>
    <t>Number of NTP participants per workshop validate materials)</t>
  </si>
  <si>
    <t xml:space="preserve">Number of inception meetings with the relevant technical working group or committee   </t>
  </si>
  <si>
    <t>Number of relevant technical working group or committee members per inception meeting</t>
  </si>
  <si>
    <t>Number of relevant technical working group or committee members per draft materials review workshop</t>
  </si>
  <si>
    <t>Number of relevant technical working group or committee members per workshop (finalize materials)</t>
  </si>
  <si>
    <t>Number of regions to receive ToT (per year)</t>
  </si>
  <si>
    <t>Number of master trainers requiring accommodation (typical per session)</t>
  </si>
  <si>
    <t>Number of participants requiring accommodation (typical per session)</t>
  </si>
  <si>
    <t>Number of facilitators requiring accommodation (typical per session)</t>
  </si>
  <si>
    <t>Number of trainees requiring accommodation (typical per session)</t>
  </si>
  <si>
    <t>Number of MoH trainers requiring accommodation (typical per training session)</t>
  </si>
  <si>
    <t>Number of staff requiring accommodation</t>
  </si>
  <si>
    <t>2.3 On-site training on pediatric TB (covering HCW from all child entry points)</t>
  </si>
  <si>
    <t>Number of MoH trainers (average per session)</t>
  </si>
  <si>
    <t>Number of MoH trainers requiring air travel</t>
  </si>
  <si>
    <t>Do participants need transport cost reimbursement? (Yes=1, No=0)</t>
  </si>
  <si>
    <t>Is there need for training venue rental? (Yes=1, No=0)</t>
  </si>
  <si>
    <t>Some of the data used in the example version are suggestions which the user should replace with country specific estimates whenever necessary</t>
  </si>
  <si>
    <r>
      <t xml:space="preserve">Enter data in cells shaded  yellow </t>
    </r>
    <r>
      <rPr>
        <b/>
        <sz val="11"/>
        <color theme="1"/>
        <rFont val="Calibri"/>
        <family val="2"/>
        <scheme val="minor"/>
      </rPr>
      <t>ONLY.</t>
    </r>
    <r>
      <rPr>
        <sz val="11"/>
        <color theme="1"/>
        <rFont val="Calibri"/>
        <family val="2"/>
        <scheme val="minor"/>
      </rPr>
      <t xml:space="preserve"> </t>
    </r>
  </si>
  <si>
    <r>
      <t xml:space="preserve">The grey cells are calculation cells that generate the results. </t>
    </r>
    <r>
      <rPr>
        <b/>
        <u/>
        <sz val="12"/>
        <color theme="1"/>
        <rFont val="Calibri (Body)_x0000_"/>
      </rPr>
      <t>Data should not be entered in these cells.</t>
    </r>
  </si>
  <si>
    <t>Basic information, e.g., country name, currency, number of health facilities, details of paediatric TB training packages etc</t>
  </si>
  <si>
    <t xml:space="preserve">Unit costs for the items included in the paediatric TB training packages. Some default unit costs are suggested but the user can define country sp[ecific unit costs in the yellow cells </t>
  </si>
  <si>
    <t>GREY</t>
  </si>
  <si>
    <t>This sheet will calculate the costs of developing pediatric TB training material broken down by different categories</t>
  </si>
  <si>
    <t>This sheet will calculate the costs of pediatric TB Training Programme broken down by different categories</t>
  </si>
  <si>
    <t>This sheet will calculate the costs of site mentorship and supervision broken down by different categories</t>
  </si>
  <si>
    <t xml:space="preserve">This sheet will give you a summary results </t>
  </si>
  <si>
    <r>
      <t xml:space="preserve">Additional instructions for data entry are given in </t>
    </r>
    <r>
      <rPr>
        <sz val="11"/>
        <color rgb="FF0070C0"/>
        <rFont val="Calibri"/>
        <family val="2"/>
        <scheme val="minor"/>
      </rPr>
      <t>blue text</t>
    </r>
    <r>
      <rPr>
        <sz val="11"/>
        <color theme="1"/>
        <rFont val="Calibri"/>
        <family val="2"/>
        <scheme val="minor"/>
      </rPr>
      <t xml:space="preserve"> throughout the tool.</t>
    </r>
  </si>
  <si>
    <t>ADDITIONAL INSTRUCTIONS</t>
  </si>
  <si>
    <t xml:space="preserve">NOTES &amp; ASSUMPTIONS </t>
  </si>
  <si>
    <t>No.</t>
  </si>
  <si>
    <t>REFERENCES</t>
  </si>
  <si>
    <t>Worksheet</t>
  </si>
  <si>
    <t>Indicator / Assumption</t>
  </si>
  <si>
    <t>Value</t>
  </si>
  <si>
    <t>Reference</t>
  </si>
  <si>
    <t>Definitions</t>
  </si>
  <si>
    <t>INSTRUCTIONS: Validate the values or enter country specific values where needed; then lock the entire sheet</t>
  </si>
  <si>
    <t>3. Site Mentorship and Supervision and re-trainings</t>
  </si>
  <si>
    <t>Instructions</t>
  </si>
  <si>
    <t>Number of sessions (per facility per year)</t>
  </si>
  <si>
    <t>Number of sessions (per region per year)</t>
  </si>
  <si>
    <t>Number of health workers to be trained (per session)</t>
  </si>
  <si>
    <t>Parameters</t>
  </si>
  <si>
    <t>PARAMETER ASSUMPTIONS</t>
  </si>
  <si>
    <t>The time a consulatnt takes to develop paediatric TB training materials will vary from one place to another. It depends on whether materials are being developed from scracth,are being updated or are part of overall training materials on TB in the country. Countries should specify an approapriate time etsimate</t>
  </si>
  <si>
    <t>One consultant is assuemed to hired for developing training materials.</t>
  </si>
  <si>
    <t>Two days are proposed for the review workshop to present the draft training materials (including job aides) to the relevant technical working group or committee.</t>
  </si>
  <si>
    <t>A one day workshop with the consultant and NTP to finalize training material and incorporate feedback received during the workshop is proposed</t>
  </si>
  <si>
    <t>A 5-day  workshop is proposed for pretesting / validation of the training materials (including job aides). 20-25 participants selected form critical stakeholders are recommended.</t>
  </si>
  <si>
    <t xml:space="preserve">5 days for National TOT for pediatric TB is recommended based on experiences from Uganda, but can be shorter if participants received prior in-service TB training </t>
  </si>
  <si>
    <t>The tool assumes that 75% of participants in all meetings or workshops require per diems and accommodation (per session). Country specific estimates MUST be entered by the user</t>
  </si>
  <si>
    <t>The tool assumes 2 facilitators for each training national or regional ToT session. A provision for international facilitators is available for national ToT in cases where local expertise may be lacking.</t>
  </si>
  <si>
    <t>National TOT for pediatric TB is assumed to take place once during the first year. Refresher trainings may be scheduled for the subsequent years if updates to guidelines and practices are anticipated.</t>
  </si>
  <si>
    <t>The tool assumes participants in facility-based/on-site training do not require per diems and transportation or accommodation</t>
  </si>
  <si>
    <t>No venue rental is required for facility-based/on-site training</t>
  </si>
  <si>
    <t>Site mentorship and supervision is assumed to occur at three levels; national to regional, regional to district and finally district to facility level. The number of visits increase as we go down the tiers</t>
  </si>
  <si>
    <t>Air-time</t>
  </si>
  <si>
    <t>airtime_mentorship</t>
  </si>
  <si>
    <t>Programme unit costs</t>
  </si>
  <si>
    <r>
      <t xml:space="preserve">This page helps you define the different unit costs that you are going to use repeatedly, throughout the tool. Please collect local data, enter them in the cells highlighted in YELLOW where possible and document the source of this information in the References tab. Unit costs can be entered in EITHER local currency or USD - DO NOT ENTER BOTH. Such values will then automatically appear in the </t>
    </r>
    <r>
      <rPr>
        <sz val="10"/>
        <color theme="0" tint="-0.499984740745262"/>
        <rFont val="Cambria"/>
        <family val="1"/>
      </rPr>
      <t>GREY CELLS</t>
    </r>
    <r>
      <rPr>
        <sz val="10"/>
        <rFont val="Cambria"/>
        <family val="1"/>
      </rPr>
      <t xml:space="preserve"> and throughout the tool, under the relevant activities. </t>
    </r>
    <r>
      <rPr>
        <b/>
        <sz val="10"/>
        <color rgb="FFFF0000"/>
        <rFont val="Cambria"/>
        <family val="1"/>
      </rPr>
      <t>PLEASE DO NOT ENTER DATA OR CHANGE THE ENTRIES IN GREYED OUT CELLS</t>
    </r>
  </si>
  <si>
    <t xml:space="preserve">The included activities are those most relevant for planning and resource requirements for this intervention. </t>
  </si>
  <si>
    <t>The budget estimates can be used:</t>
  </si>
  <si>
    <t>for programme management, funding and planning</t>
  </si>
  <si>
    <t>PAEDIATRIC TB TRAINING BUDGETING TOOL</t>
  </si>
  <si>
    <t>The tool estimates the budget required for establishing a training programme for TB in high risk population of children &lt; 15 years old.</t>
  </si>
  <si>
    <t xml:space="preserve">The 'Parameters' tab has a provision for input of figures for each budget year. </t>
  </si>
  <si>
    <t>to inform the estimates of the costs of paediatric TB services globally</t>
  </si>
  <si>
    <t>1. Title page</t>
  </si>
  <si>
    <t>4. Parameters</t>
  </si>
  <si>
    <t>5. Unit costs</t>
  </si>
  <si>
    <t>6. Development of pediatric TB training material</t>
  </si>
  <si>
    <t>7. Pediatric TB Training Programme</t>
  </si>
  <si>
    <t>8. Site mentorship and supervision</t>
  </si>
  <si>
    <t>9. Results summary</t>
  </si>
  <si>
    <t>10. Notes &amp; Assumptions</t>
  </si>
  <si>
    <t>11. References</t>
  </si>
  <si>
    <t>2. Menu</t>
  </si>
  <si>
    <t>3. Guide</t>
  </si>
  <si>
    <t>Results summary</t>
  </si>
  <si>
    <t>A maximum of 20-25 participants are recommended for all training sessions to ensure maximum effectiveness</t>
  </si>
  <si>
    <t>Number of participants + number of trainers</t>
  </si>
  <si>
    <t xml:space="preserve">A phased approach is recommended for regional ToT and facility-based training where these are planned for a proportion of districts and failities providing TB diagniosis and treatment services for each year. Prioritization can be done based on the volume of TB cases. A hybrid approach is recommended where high volume facilities are visited and HCW from nearby low volume facilities are brought to the high volume facility for training </t>
  </si>
  <si>
    <t>Site mentorship and supervision is done by two people - one with an understanding of the clinical aspects of paediatric TB and another one with a good understanding of health systems strengthening</t>
  </si>
  <si>
    <t>Quarterley site mentorship and supervision visits for facilities by district teams are recommended. Each visit can last 1-3 days per facility</t>
  </si>
  <si>
    <t xml:space="preserve">1.2 In-brief meeting at the NTP with consultant </t>
  </si>
  <si>
    <t>HCW</t>
  </si>
  <si>
    <t>MoH</t>
  </si>
  <si>
    <t>M&amp;E</t>
  </si>
  <si>
    <t>NTP</t>
  </si>
  <si>
    <t>TB</t>
  </si>
  <si>
    <t>ToT</t>
  </si>
  <si>
    <t>Health care worker</t>
  </si>
  <si>
    <t>Ministry of health</t>
  </si>
  <si>
    <t>Monitoring and evaluation</t>
  </si>
  <si>
    <t>National tuberculosis programme</t>
  </si>
  <si>
    <t>Tuberculosis</t>
  </si>
  <si>
    <t>Training of trainers</t>
  </si>
  <si>
    <t>United States dollar</t>
  </si>
  <si>
    <t>The cost of developing paediatric TB training materials is incurred in the first year only. Parameter entries for subsequent years should be zero.</t>
  </si>
  <si>
    <t>Only one briefing meeting between the NTP and the consultant is assumed - taking half a day up to a full day.</t>
  </si>
  <si>
    <t>The number of participants to attend the briefing meeting between the NTP and the consultant should be determined by the NTP.  Should include a few key NTP members familiar with the paediatric TB training needs for the country.</t>
  </si>
  <si>
    <t>One inception meeting between the consultant and the relevant technical working group or committee to discuss and finalize the work plan and methodology/review processes is assumed to take 1 full day</t>
  </si>
  <si>
    <t>The NTP should identify and decide on the number of relevant technical working group or committee members who will attend the inception meeting with the consultant .</t>
  </si>
  <si>
    <t>The NTP should identify and decide on the number of relevant technical working group or committee members who will attend the one day workshop with the consultant and NTP to finalize training materials</t>
  </si>
  <si>
    <t>Unit cost definition</t>
  </si>
  <si>
    <t>Uganda experience</t>
  </si>
  <si>
    <t xml:space="preserve">Assumption based on 75% of participants </t>
  </si>
  <si>
    <t>Uganda experience (recommended 20-25 participants)</t>
  </si>
  <si>
    <t xml:space="preserve">It aims to support program planning and budgeting for grant applications and/or national budgeting for high TB burden countries.	</t>
  </si>
  <si>
    <t>The 'Parameters' tab provide some suggested parameter estimates based on experiences of the Paediatic TB training programme deployed in Uganda. Please note these parameter estimates are not prescriptive and MUST be replaced them with country specific estimates</t>
  </si>
  <si>
    <t>The costs provided in this tool include: developing the paediatric TB training materials, the paediatric TB training programme, and site mentorship and supervision</t>
  </si>
  <si>
    <t xml:space="preserve">This budget tool is focused on costs of  training for clinical management of pediatric TB. </t>
  </si>
  <si>
    <t>It does not include training on specific technical areas such us sample collection procedures or CXR interpretation (those costs needs to be budgeted separately)</t>
  </si>
  <si>
    <t>These activities are strongly based on the experiences and  lessons learnt of the Pediatric TB training Programme implemented by the Uganda National TB and Leprosy program. Those activities are not prescriptive and and can be revised and adapted to country-context if needed</t>
  </si>
  <si>
    <t xml:space="preserve">The tool has been built to support budegting for budget cycles of different lenghts (up to 10 years).  </t>
  </si>
  <si>
    <t>The users can customize it by filling in only the number of years that corresponds to the length of the budgeting cycle that is under consideration</t>
  </si>
  <si>
    <t>The paediatric TB training budgeting tool has been developed through a collaborative effort by CDC, EGPAF, Global Fund, CDC, IMPAACT4TB- Aurum Institute, Stop TB Partnership, TB Speed, Uganda NTLP, UNICEF, UNITAID, University of Sheffield, USAID and WHO.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</si>
</sst>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0.00_-;\-&quot;£&quot;* #,##0.00_-;_-&quot;£&quot;* &quot;-&quot;??_-;_-@_-"/>
    <numFmt numFmtId="165" formatCode="_(* #,##0_);_(* \(#,##0\);_(* &quot;-&quot;??_);_(@_)"/>
    <numFmt numFmtId="166" formatCode="0.0%"/>
    <numFmt numFmtId="167" formatCode="_-[$$-409]* #,##0.00_ ;_-[$$-409]* \-#,##0.00\ ;_-[$$-409]* &quot;-&quot;??_ ;_-@_ "/>
    <numFmt numFmtId="168" formatCode="_-&quot;$&quot;* #,##0_-;\-&quot;$&quot;* #,##0_-;_-&quot;$&quot;* &quot;-&quot;_-;_-@_-"/>
    <numFmt numFmtId="169" formatCode="[$-409]mmm\-yy;@"/>
    <numFmt numFmtId="170" formatCode="_(&quot;$&quot;* #,##0_);_(&quot;$&quot;* \(#,##0\);_(&quot;$&quot;* &quot;-&quot;??_);_(@_)"/>
    <numFmt numFmtId="171" formatCode="_-* #,##0_-;\-* #,##0_-;_-* &quot;-&quot;??_-;_-@_-"/>
    <numFmt numFmtId="172" formatCode="_-[$$-409]* #,##0_ ;_-[$$-409]* \-#,##0\ ;_-[$$-409]* &quot;-&quot;??_ ;_-@_ "/>
  </numFmts>
  <fonts count="59">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0"/>
      <name val="Calibri"/>
      <family val="2"/>
      <scheme val="minor"/>
    </font>
    <font>
      <u/>
      <sz val="8"/>
      <color indexed="12"/>
      <name val="Arial"/>
      <family val="2"/>
    </font>
    <font>
      <sz val="12"/>
      <color theme="1"/>
      <name val="Cambria"/>
      <family val="1"/>
    </font>
    <font>
      <b/>
      <sz val="12"/>
      <color theme="1"/>
      <name val="Cambria"/>
      <family val="1"/>
    </font>
    <font>
      <sz val="8"/>
      <name val="Arial"/>
      <family val="2"/>
    </font>
    <font>
      <b/>
      <sz val="12"/>
      <name val="Cambria"/>
      <family val="1"/>
    </font>
    <font>
      <sz val="12"/>
      <name val="Cambria"/>
      <family val="1"/>
    </font>
    <font>
      <u/>
      <sz val="11"/>
      <color theme="10"/>
      <name val="Calibri"/>
      <family val="2"/>
      <scheme val="minor"/>
    </font>
    <font>
      <sz val="8"/>
      <color indexed="8"/>
      <name val="Arial"/>
      <family val="2"/>
    </font>
    <font>
      <sz val="10"/>
      <color theme="1"/>
      <name val="Calibri"/>
      <family val="2"/>
      <scheme val="minor"/>
    </font>
    <font>
      <b/>
      <sz val="10"/>
      <color theme="1"/>
      <name val="Calibri"/>
      <family val="2"/>
      <scheme val="minor"/>
    </font>
    <font>
      <b/>
      <sz val="10"/>
      <name val="Arial"/>
      <family val="2"/>
    </font>
    <font>
      <b/>
      <sz val="9"/>
      <color indexed="32"/>
      <name val="Tahoma"/>
      <family val="2"/>
    </font>
    <font>
      <b/>
      <sz val="8"/>
      <name val="Arial"/>
      <family val="2"/>
    </font>
    <font>
      <sz val="8"/>
      <color indexed="12"/>
      <name val="Arial"/>
      <family val="2"/>
    </font>
    <font>
      <sz val="10"/>
      <name val="Cambria"/>
      <family val="1"/>
    </font>
    <font>
      <b/>
      <sz val="16"/>
      <name val="Cambria"/>
      <family val="1"/>
    </font>
    <font>
      <sz val="8"/>
      <name val="Cambria"/>
      <family val="1"/>
    </font>
    <font>
      <b/>
      <sz val="10"/>
      <name val="Cambria"/>
      <family val="1"/>
    </font>
    <font>
      <b/>
      <sz val="10"/>
      <color indexed="32"/>
      <name val="Cambria"/>
      <family val="1"/>
    </font>
    <font>
      <sz val="10"/>
      <color theme="0" tint="-0.14999847407452621"/>
      <name val="Cambria"/>
      <family val="1"/>
    </font>
    <font>
      <b/>
      <sz val="12"/>
      <name val="Arial"/>
      <family val="2"/>
    </font>
    <font>
      <b/>
      <sz val="10"/>
      <color rgb="FF0066FF"/>
      <name val="Cambria"/>
      <family val="1"/>
    </font>
    <font>
      <b/>
      <u/>
      <sz val="10"/>
      <color rgb="FF0066FF"/>
      <name val="Cambria"/>
      <family val="1"/>
    </font>
    <font>
      <u/>
      <sz val="10"/>
      <color theme="10"/>
      <name val="Calibri"/>
      <family val="2"/>
      <scheme val="minor"/>
    </font>
    <font>
      <u/>
      <sz val="10"/>
      <color theme="10"/>
      <name val="Cambria"/>
      <family val="1"/>
    </font>
    <font>
      <sz val="10"/>
      <color indexed="8"/>
      <name val="Cambria"/>
      <family val="1"/>
    </font>
    <font>
      <b/>
      <sz val="10"/>
      <color theme="0"/>
      <name val="Cambria"/>
      <family val="1"/>
    </font>
    <font>
      <sz val="10"/>
      <color theme="0"/>
      <name val="Cambria"/>
      <family val="1"/>
    </font>
    <font>
      <sz val="10"/>
      <color indexed="12"/>
      <name val="Cambria"/>
      <family val="1"/>
    </font>
    <font>
      <b/>
      <sz val="12"/>
      <color theme="0"/>
      <name val="Cambria"/>
      <family val="1"/>
    </font>
    <font>
      <sz val="12"/>
      <color rgb="FF0066FF"/>
      <name val="Arial"/>
      <family val="2"/>
    </font>
    <font>
      <sz val="14"/>
      <color theme="1"/>
      <name val="Calibri"/>
      <family val="2"/>
      <scheme val="minor"/>
    </font>
    <font>
      <b/>
      <sz val="16"/>
      <color rgb="FF0070C0"/>
      <name val="Cambria"/>
      <family val="1"/>
    </font>
    <font>
      <sz val="16"/>
      <name val="Cambria"/>
      <family val="1"/>
    </font>
    <font>
      <b/>
      <u/>
      <sz val="12"/>
      <color theme="1"/>
      <name val="Calibri (Body)_x0000_"/>
    </font>
    <font>
      <sz val="11"/>
      <color rgb="FF0070C0"/>
      <name val="Calibri"/>
      <family val="2"/>
      <scheme val="minor"/>
    </font>
    <font>
      <b/>
      <sz val="11"/>
      <color theme="4" tint="-0.249977111117893"/>
      <name val="Calibri"/>
      <family val="2"/>
      <scheme val="minor"/>
    </font>
    <font>
      <u/>
      <sz val="12"/>
      <color theme="10"/>
      <name val="Calibri"/>
      <family val="2"/>
      <scheme val="minor"/>
    </font>
    <font>
      <b/>
      <sz val="12"/>
      <color theme="1"/>
      <name val="Calibri"/>
      <family val="2"/>
      <scheme val="minor"/>
    </font>
    <font>
      <sz val="12"/>
      <color theme="4" tint="-0.249977111117893"/>
      <name val="Calibri"/>
      <family val="2"/>
      <scheme val="minor"/>
    </font>
    <font>
      <sz val="12"/>
      <color theme="1"/>
      <name val="Calibri"/>
      <family val="2"/>
      <scheme val="minor"/>
    </font>
    <font>
      <sz val="12"/>
      <color rgb="FF0070C0"/>
      <name val="Calibri"/>
      <family val="2"/>
      <scheme val="minor"/>
    </font>
    <font>
      <i/>
      <sz val="12"/>
      <color theme="1"/>
      <name val="Calibri"/>
      <family val="2"/>
      <scheme val="minor"/>
    </font>
    <font>
      <sz val="12"/>
      <color rgb="FFFF0000"/>
      <name val="Calibri"/>
      <family val="2"/>
      <scheme val="minor"/>
    </font>
    <font>
      <sz val="10"/>
      <color theme="0" tint="-0.499984740745262"/>
      <name val="Cambria"/>
      <family val="1"/>
    </font>
    <font>
      <b/>
      <sz val="10"/>
      <color rgb="FFFF0000"/>
      <name val="Cambria"/>
      <family val="1"/>
    </font>
    <font>
      <sz val="12"/>
      <color rgb="FF0066FF"/>
      <name val="Cambria"/>
      <family val="1"/>
    </font>
    <font>
      <b/>
      <u/>
      <sz val="12"/>
      <color rgb="FF0066FF"/>
      <name val="Cambria"/>
      <family val="1"/>
    </font>
    <font>
      <b/>
      <u/>
      <sz val="11"/>
      <color rgb="FF0066FF"/>
      <name val="Cambria"/>
      <family val="1"/>
    </font>
    <font>
      <b/>
      <sz val="16"/>
      <color theme="0"/>
      <name val="Calibri"/>
      <family val="2"/>
      <scheme val="minor"/>
    </font>
  </fonts>
  <fills count="1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indexed="9"/>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tint="-0.34998626667073579"/>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style="thin">
        <color rgb="FFFFFFFF"/>
      </bottom>
      <diagonal/>
    </border>
  </borders>
  <cellStyleXfs count="17">
    <xf numFmtId="0" fontId="0" fillId="0" borderId="0"/>
    <xf numFmtId="43" fontId="2" fillId="0" borderId="0" applyFont="0" applyFill="0" applyBorder="0" applyAlignment="0" applyProtection="0"/>
    <xf numFmtId="9" fontId="2" fillId="0" borderId="0" applyFont="0" applyFill="0" applyBorder="0" applyAlignment="0" applyProtection="0"/>
    <xf numFmtId="49" fontId="9" fillId="9" borderId="0">
      <alignment horizontal="left" vertical="center" wrapText="1"/>
      <protection locked="0"/>
    </xf>
    <xf numFmtId="168" fontId="12" fillId="0" borderId="16">
      <alignment horizontal="center" vertical="center"/>
    </xf>
    <xf numFmtId="0" fontId="15" fillId="0" borderId="0" applyNumberFormat="0" applyFill="0" applyBorder="0" applyAlignment="0" applyProtection="0"/>
    <xf numFmtId="169" fontId="16" fillId="0" borderId="0">
      <protection locked="0"/>
    </xf>
    <xf numFmtId="49" fontId="19" fillId="0" borderId="0"/>
    <xf numFmtId="49" fontId="19" fillId="0" borderId="0">
      <alignment horizontal="left"/>
    </xf>
    <xf numFmtId="49" fontId="20" fillId="11" borderId="0">
      <alignment horizontal="left"/>
    </xf>
    <xf numFmtId="1" fontId="16" fillId="12" borderId="0">
      <alignment horizontal="center" vertical="center"/>
      <protection locked="0"/>
    </xf>
    <xf numFmtId="0" fontId="21" fillId="0" borderId="0">
      <alignment horizontal="center" vertical="center"/>
    </xf>
    <xf numFmtId="0" fontId="12" fillId="0" borderId="0"/>
    <xf numFmtId="168" fontId="22" fillId="0" borderId="0">
      <alignment horizontal="center" vertical="center"/>
      <protection locked="0"/>
    </xf>
    <xf numFmtId="168" fontId="22" fillId="0" borderId="0">
      <alignment horizontal="center" vertical="center"/>
      <protection locked="0"/>
    </xf>
    <xf numFmtId="164" fontId="2" fillId="0" borderId="0" applyFont="0" applyFill="0" applyBorder="0" applyAlignment="0" applyProtection="0"/>
    <xf numFmtId="0" fontId="49" fillId="0" borderId="0"/>
  </cellStyleXfs>
  <cellXfs count="269">
    <xf numFmtId="0" fontId="0" fillId="0" borderId="0" xfId="0"/>
    <xf numFmtId="0" fontId="0" fillId="3" borderId="0" xfId="0" applyFill="1"/>
    <xf numFmtId="0" fontId="4" fillId="0" borderId="0" xfId="0" applyFont="1" applyFill="1" applyAlignment="1"/>
    <xf numFmtId="0" fontId="0" fillId="0" borderId="0" xfId="0" applyFill="1"/>
    <xf numFmtId="0" fontId="3" fillId="4" borderId="0" xfId="0" applyFont="1" applyFill="1"/>
    <xf numFmtId="0" fontId="0" fillId="4" borderId="0" xfId="0" applyFill="1"/>
    <xf numFmtId="165" fontId="0" fillId="5" borderId="4" xfId="1" applyNumberFormat="1" applyFont="1" applyFill="1" applyBorder="1" applyAlignment="1" applyProtection="1">
      <alignment horizontal="right"/>
      <protection locked="0"/>
    </xf>
    <xf numFmtId="0" fontId="5" fillId="3" borderId="0" xfId="0" applyFont="1" applyFill="1"/>
    <xf numFmtId="0" fontId="3" fillId="3" borderId="0" xfId="0" applyFont="1" applyFill="1"/>
    <xf numFmtId="0" fontId="3" fillId="6" borderId="1" xfId="0" applyFont="1" applyFill="1" applyBorder="1"/>
    <xf numFmtId="0" fontId="0" fillId="6" borderId="2" xfId="0" applyFill="1" applyBorder="1"/>
    <xf numFmtId="0" fontId="0" fillId="6" borderId="3" xfId="0" applyFill="1" applyBorder="1"/>
    <xf numFmtId="0" fontId="0" fillId="3" borderId="0" xfId="0" applyFill="1" applyAlignment="1">
      <alignment horizontal="center"/>
    </xf>
    <xf numFmtId="0" fontId="7" fillId="8" borderId="1" xfId="0" applyFont="1" applyFill="1" applyBorder="1"/>
    <xf numFmtId="0" fontId="6" fillId="8" borderId="2" xfId="0" applyFont="1" applyFill="1" applyBorder="1"/>
    <xf numFmtId="0" fontId="6" fillId="8" borderId="2" xfId="0" applyFont="1" applyFill="1" applyBorder="1" applyAlignment="1">
      <alignment horizontal="center"/>
    </xf>
    <xf numFmtId="0" fontId="0" fillId="8" borderId="2" xfId="0" applyFill="1" applyBorder="1"/>
    <xf numFmtId="0" fontId="0" fillId="8" borderId="3" xfId="0" applyFill="1" applyBorder="1"/>
    <xf numFmtId="0" fontId="0" fillId="3" borderId="0" xfId="0" applyFill="1" applyBorder="1"/>
    <xf numFmtId="0" fontId="0" fillId="3" borderId="5" xfId="0" applyFill="1" applyBorder="1"/>
    <xf numFmtId="0" fontId="0" fillId="3" borderId="6" xfId="0" applyFont="1" applyFill="1" applyBorder="1"/>
    <xf numFmtId="0" fontId="0" fillId="3" borderId="7" xfId="0" applyFill="1" applyBorder="1"/>
    <xf numFmtId="0" fontId="0" fillId="3" borderId="8" xfId="0" applyFill="1" applyBorder="1"/>
    <xf numFmtId="0" fontId="0" fillId="3" borderId="6" xfId="0" applyFill="1" applyBorder="1"/>
    <xf numFmtId="0" fontId="10" fillId="0" borderId="0" xfId="0" applyFont="1"/>
    <xf numFmtId="0" fontId="11" fillId="0" borderId="0" xfId="0" applyFont="1"/>
    <xf numFmtId="0" fontId="10" fillId="0" borderId="15" xfId="0" applyFont="1" applyBorder="1"/>
    <xf numFmtId="0" fontId="10" fillId="0" borderId="0" xfId="0" applyFont="1" applyBorder="1"/>
    <xf numFmtId="167" fontId="10" fillId="0" borderId="0" xfId="0" applyNumberFormat="1" applyFont="1" applyBorder="1"/>
    <xf numFmtId="0" fontId="10" fillId="0" borderId="16" xfId="0" applyFont="1" applyBorder="1"/>
    <xf numFmtId="0" fontId="11" fillId="0" borderId="15" xfId="0" applyFont="1" applyBorder="1"/>
    <xf numFmtId="0" fontId="13" fillId="0" borderId="0" xfId="0" applyFont="1"/>
    <xf numFmtId="168" fontId="14" fillId="0" borderId="0" xfId="4" applyFont="1" applyBorder="1">
      <alignment horizontal="center" vertical="center"/>
    </xf>
    <xf numFmtId="0" fontId="14" fillId="0" borderId="0" xfId="0" applyFont="1"/>
    <xf numFmtId="0" fontId="0" fillId="0" borderId="0" xfId="0" applyFont="1"/>
    <xf numFmtId="0" fontId="15" fillId="0" borderId="0" xfId="5"/>
    <xf numFmtId="0" fontId="11" fillId="0" borderId="0" xfId="0" applyFont="1" applyBorder="1"/>
    <xf numFmtId="0" fontId="3" fillId="3" borderId="17" xfId="0" quotePrefix="1" applyFont="1" applyFill="1" applyBorder="1" applyAlignment="1">
      <alignment horizontal="center"/>
    </xf>
    <xf numFmtId="0" fontId="17" fillId="3" borderId="0" xfId="0" applyFont="1" applyFill="1"/>
    <xf numFmtId="165" fontId="17" fillId="3" borderId="11" xfId="1" applyNumberFormat="1" applyFont="1" applyFill="1" applyBorder="1"/>
    <xf numFmtId="0" fontId="3" fillId="3" borderId="13" xfId="0" applyFont="1" applyFill="1" applyBorder="1"/>
    <xf numFmtId="43" fontId="0" fillId="3" borderId="10" xfId="1" applyFont="1" applyFill="1" applyBorder="1"/>
    <xf numFmtId="43" fontId="0" fillId="3" borderId="12" xfId="1" applyFont="1" applyFill="1" applyBorder="1"/>
    <xf numFmtId="165" fontId="17" fillId="3" borderId="0" xfId="0" applyNumberFormat="1" applyFont="1" applyFill="1"/>
    <xf numFmtId="43" fontId="0" fillId="0" borderId="12" xfId="1" applyFont="1" applyFill="1" applyBorder="1"/>
    <xf numFmtId="43" fontId="3" fillId="3" borderId="13" xfId="1" applyFont="1" applyFill="1" applyBorder="1"/>
    <xf numFmtId="0" fontId="3" fillId="3" borderId="18" xfId="0" quotePrefix="1" applyFont="1" applyFill="1" applyBorder="1" applyAlignment="1">
      <alignment horizontal="center"/>
    </xf>
    <xf numFmtId="0" fontId="3" fillId="3" borderId="19" xfId="0" quotePrefix="1" applyFont="1" applyFill="1" applyBorder="1" applyAlignment="1">
      <alignment horizontal="center"/>
    </xf>
    <xf numFmtId="0" fontId="0" fillId="3" borderId="12" xfId="0" applyFill="1" applyBorder="1"/>
    <xf numFmtId="0" fontId="0" fillId="3" borderId="13" xfId="0" applyFill="1" applyBorder="1"/>
    <xf numFmtId="43" fontId="2" fillId="3" borderId="0" xfId="1" applyFont="1" applyFill="1" applyBorder="1"/>
    <xf numFmtId="165" fontId="17" fillId="3" borderId="0" xfId="1" applyNumberFormat="1" applyFont="1" applyFill="1" applyBorder="1"/>
    <xf numFmtId="0" fontId="3" fillId="3" borderId="23" xfId="0" quotePrefix="1" applyFont="1" applyFill="1" applyBorder="1" applyAlignment="1">
      <alignment horizontal="center"/>
    </xf>
    <xf numFmtId="0" fontId="3" fillId="3" borderId="17" xfId="0" quotePrefix="1" applyFont="1" applyFill="1" applyBorder="1" applyAlignment="1">
      <alignment horizontal="left"/>
    </xf>
    <xf numFmtId="49" fontId="15" fillId="0" borderId="0" xfId="5" applyNumberFormat="1" applyAlignment="1" applyProtection="1">
      <alignment horizontal="left" vertical="center"/>
    </xf>
    <xf numFmtId="0" fontId="23" fillId="0" borderId="0" xfId="0" applyFont="1"/>
    <xf numFmtId="0" fontId="23" fillId="0" borderId="0" xfId="0" applyFont="1" applyAlignment="1">
      <alignment horizontal="left" vertical="top" wrapText="1"/>
    </xf>
    <xf numFmtId="49" fontId="26" fillId="0" borderId="0" xfId="7" applyFont="1" applyAlignment="1">
      <alignment vertical="center" wrapText="1"/>
    </xf>
    <xf numFmtId="49" fontId="27" fillId="11" borderId="0" xfId="9" applyFont="1">
      <alignment horizontal="left"/>
    </xf>
    <xf numFmtId="49" fontId="27" fillId="3" borderId="0" xfId="9" applyFont="1" applyFill="1">
      <alignment horizontal="left"/>
    </xf>
    <xf numFmtId="0" fontId="28" fillId="0" borderId="0" xfId="0" applyFont="1"/>
    <xf numFmtId="49" fontId="25" fillId="0" borderId="0" xfId="8" applyFont="1" applyAlignment="1">
      <alignment horizontal="left" vertical="center"/>
    </xf>
    <xf numFmtId="49" fontId="25" fillId="10" borderId="0" xfId="8" applyFont="1" applyFill="1" applyAlignment="1">
      <alignment horizontal="left" vertical="center"/>
    </xf>
    <xf numFmtId="0" fontId="15" fillId="0" borderId="0" xfId="5" applyFill="1"/>
    <xf numFmtId="0" fontId="25" fillId="0" borderId="0" xfId="12" applyFont="1" applyBorder="1" applyAlignment="1">
      <alignment vertical="center"/>
    </xf>
    <xf numFmtId="170" fontId="25" fillId="0" borderId="0" xfId="12" applyNumberFormat="1" applyFont="1" applyBorder="1" applyAlignment="1">
      <alignment vertical="top" wrapText="1"/>
    </xf>
    <xf numFmtId="0" fontId="25" fillId="0" borderId="0" xfId="12" applyFont="1" applyBorder="1" applyAlignment="1">
      <alignment horizontal="right" vertical="center"/>
    </xf>
    <xf numFmtId="0" fontId="29" fillId="0" borderId="0" xfId="12" applyFont="1"/>
    <xf numFmtId="49" fontId="26" fillId="0" borderId="0" xfId="8" applyFont="1" applyAlignment="1">
      <alignment horizontal="left" vertical="center"/>
    </xf>
    <xf numFmtId="49" fontId="30" fillId="0" borderId="0" xfId="8" applyFont="1" applyAlignment="1">
      <alignment horizontal="left" vertical="center"/>
    </xf>
    <xf numFmtId="49" fontId="31" fillId="0" borderId="0" xfId="8" applyFont="1" applyAlignment="1">
      <alignment horizontal="left" vertical="center"/>
    </xf>
    <xf numFmtId="49" fontId="32" fillId="0" borderId="0" xfId="5" applyNumberFormat="1" applyFont="1" applyAlignment="1" applyProtection="1">
      <alignment horizontal="left" vertical="center"/>
    </xf>
    <xf numFmtId="49" fontId="33" fillId="0" borderId="0" xfId="5" applyNumberFormat="1" applyFont="1" applyAlignment="1" applyProtection="1">
      <alignment horizontal="left" vertical="center"/>
    </xf>
    <xf numFmtId="49" fontId="35" fillId="13" borderId="0" xfId="8" applyFont="1" applyFill="1" applyAlignment="1">
      <alignment horizontal="left" vertical="center"/>
    </xf>
    <xf numFmtId="49" fontId="36" fillId="13" borderId="0" xfId="8" applyFont="1" applyFill="1" applyAlignment="1">
      <alignment horizontal="left" vertical="center"/>
    </xf>
    <xf numFmtId="49" fontId="23" fillId="0" borderId="0" xfId="8" applyFont="1" applyAlignment="1">
      <alignment horizontal="left" vertical="center"/>
    </xf>
    <xf numFmtId="49" fontId="23" fillId="10" borderId="0" xfId="8" applyFont="1" applyFill="1" applyAlignment="1">
      <alignment horizontal="left" vertical="center"/>
    </xf>
    <xf numFmtId="167" fontId="23" fillId="10" borderId="0" xfId="8" applyNumberFormat="1" applyFont="1" applyFill="1" applyAlignment="1">
      <alignment horizontal="left" vertical="center"/>
    </xf>
    <xf numFmtId="167" fontId="23" fillId="0" borderId="0" xfId="8" applyNumberFormat="1" applyFont="1" applyAlignment="1">
      <alignment horizontal="left" vertical="center"/>
    </xf>
    <xf numFmtId="167" fontId="36" fillId="13" borderId="0" xfId="8" applyNumberFormat="1" applyFont="1" applyFill="1" applyAlignment="1">
      <alignment horizontal="left" vertical="center"/>
    </xf>
    <xf numFmtId="0" fontId="23" fillId="0" borderId="24" xfId="12" applyFont="1" applyBorder="1" applyAlignment="1">
      <alignment vertical="center"/>
    </xf>
    <xf numFmtId="170" fontId="23" fillId="0" borderId="24" xfId="12" applyNumberFormat="1" applyFont="1" applyBorder="1" applyAlignment="1">
      <alignment vertical="top" wrapText="1"/>
    </xf>
    <xf numFmtId="0" fontId="23" fillId="0" borderId="24" xfId="12" applyFont="1" applyBorder="1" applyAlignment="1">
      <alignment horizontal="right" vertical="center"/>
    </xf>
    <xf numFmtId="170" fontId="23" fillId="0" borderId="0" xfId="12" applyNumberFormat="1" applyFont="1" applyBorder="1" applyAlignment="1">
      <alignment vertical="top" wrapText="1"/>
    </xf>
    <xf numFmtId="49" fontId="23" fillId="0" borderId="0" xfId="8" applyFont="1" applyAlignment="1">
      <alignment horizontal="right" vertical="center"/>
    </xf>
    <xf numFmtId="0" fontId="23" fillId="0" borderId="0" xfId="12" applyFont="1" applyBorder="1" applyAlignment="1">
      <alignment vertical="center"/>
    </xf>
    <xf numFmtId="0" fontId="23" fillId="0" borderId="0" xfId="12" applyFont="1" applyBorder="1" applyAlignment="1">
      <alignment horizontal="right" vertical="center"/>
    </xf>
    <xf numFmtId="49" fontId="38" fillId="13" borderId="0" xfId="8" applyFont="1" applyFill="1" applyAlignment="1">
      <alignment horizontal="left" vertical="center"/>
    </xf>
    <xf numFmtId="49" fontId="24" fillId="0" borderId="0" xfId="7" applyFont="1" applyAlignment="1"/>
    <xf numFmtId="49" fontId="24" fillId="0" borderId="0" xfId="7" applyFont="1" applyAlignment="1">
      <alignment horizontal="left"/>
    </xf>
    <xf numFmtId="167" fontId="37" fillId="0" borderId="0" xfId="13" applyNumberFormat="1" applyFont="1" applyAlignment="1" applyProtection="1">
      <alignment horizontal="center" vertical="center"/>
    </xf>
    <xf numFmtId="0" fontId="39" fillId="0" borderId="0" xfId="0" applyFont="1"/>
    <xf numFmtId="0" fontId="40" fillId="3" borderId="0" xfId="0" applyFont="1" applyFill="1" applyProtection="1"/>
    <xf numFmtId="0" fontId="11" fillId="0" borderId="25" xfId="0" applyFont="1" applyBorder="1"/>
    <xf numFmtId="0" fontId="14" fillId="0" borderId="0" xfId="0" applyFont="1" applyBorder="1"/>
    <xf numFmtId="0" fontId="23" fillId="0" borderId="24" xfId="12" applyFont="1" applyBorder="1" applyAlignment="1">
      <alignment horizontal="left" vertical="center"/>
    </xf>
    <xf numFmtId="49" fontId="23" fillId="0" borderId="0" xfId="8" applyFont="1" applyFill="1" applyAlignment="1">
      <alignment horizontal="left" vertical="center"/>
    </xf>
    <xf numFmtId="167" fontId="23" fillId="0" borderId="0" xfId="8" applyNumberFormat="1" applyFont="1" applyFill="1" applyAlignment="1">
      <alignment horizontal="left" vertical="center"/>
    </xf>
    <xf numFmtId="0" fontId="10" fillId="0" borderId="0" xfId="0" applyFont="1" applyFill="1" applyBorder="1"/>
    <xf numFmtId="167" fontId="14" fillId="0" borderId="0" xfId="1" applyNumberFormat="1" applyFont="1" applyBorder="1" applyAlignment="1">
      <alignment horizontal="center" vertical="center"/>
    </xf>
    <xf numFmtId="171" fontId="14" fillId="0" borderId="0" xfId="1" applyNumberFormat="1" applyFont="1" applyBorder="1" applyAlignment="1">
      <alignment horizontal="center" vertical="center"/>
    </xf>
    <xf numFmtId="171" fontId="12" fillId="0" borderId="0" xfId="4" applyNumberFormat="1" applyBorder="1">
      <alignment horizontal="center" vertical="center"/>
    </xf>
    <xf numFmtId="171" fontId="10" fillId="0" borderId="0" xfId="0" applyNumberFormat="1" applyFont="1"/>
    <xf numFmtId="171" fontId="11" fillId="0" borderId="0" xfId="0" applyNumberFormat="1" applyFont="1" applyBorder="1"/>
    <xf numFmtId="171" fontId="14" fillId="0" borderId="0" xfId="4" applyNumberFormat="1" applyFont="1" applyBorder="1">
      <alignment horizontal="center" vertical="center"/>
    </xf>
    <xf numFmtId="43" fontId="0" fillId="3" borderId="20" xfId="1" applyFont="1" applyFill="1" applyBorder="1"/>
    <xf numFmtId="172" fontId="10" fillId="0" borderId="0" xfId="0" applyNumberFormat="1" applyFont="1" applyBorder="1"/>
    <xf numFmtId="172" fontId="10" fillId="0" borderId="0" xfId="0" applyNumberFormat="1" applyFont="1"/>
    <xf numFmtId="172" fontId="14" fillId="0" borderId="0" xfId="4" applyNumberFormat="1" applyFont="1" applyBorder="1">
      <alignment horizontal="center" vertical="center"/>
    </xf>
    <xf numFmtId="1" fontId="34" fillId="0" borderId="0" xfId="10" applyFont="1" applyFill="1" applyAlignment="1">
      <alignment horizontal="right" vertical="center"/>
      <protection locked="0"/>
    </xf>
    <xf numFmtId="0" fontId="23" fillId="5" borderId="24" xfId="12" applyFont="1" applyFill="1" applyBorder="1" applyAlignment="1">
      <alignment horizontal="left" vertical="center"/>
    </xf>
    <xf numFmtId="0" fontId="41" fillId="14" borderId="0" xfId="0" applyFont="1" applyFill="1" applyAlignment="1">
      <alignment horizontal="left" vertical="top" wrapText="1"/>
    </xf>
    <xf numFmtId="0" fontId="42" fillId="0" borderId="0" xfId="0" applyFont="1"/>
    <xf numFmtId="0" fontId="42" fillId="0" borderId="0" xfId="0" applyFont="1" applyAlignment="1">
      <alignment horizontal="left" vertical="top" wrapText="1"/>
    </xf>
    <xf numFmtId="0" fontId="29" fillId="0" borderId="0" xfId="12" applyFont="1" applyAlignment="1">
      <alignment wrapText="1"/>
    </xf>
    <xf numFmtId="0" fontId="0" fillId="15" borderId="26" xfId="0" applyFill="1" applyBorder="1" applyAlignment="1"/>
    <xf numFmtId="0" fontId="0" fillId="15" borderId="27" xfId="0" applyFill="1" applyBorder="1" applyAlignment="1"/>
    <xf numFmtId="0" fontId="0" fillId="15" borderId="0" xfId="0" applyFill="1"/>
    <xf numFmtId="0" fontId="5" fillId="15" borderId="0" xfId="0" applyFont="1" applyFill="1"/>
    <xf numFmtId="0" fontId="6" fillId="7" borderId="0" xfId="0" applyFont="1" applyFill="1"/>
    <xf numFmtId="0" fontId="0" fillId="7" borderId="0" xfId="0" applyFill="1"/>
    <xf numFmtId="0" fontId="3" fillId="15" borderId="1" xfId="0" applyFont="1" applyFill="1" applyBorder="1"/>
    <xf numFmtId="0" fontId="0" fillId="15" borderId="2" xfId="0" applyFill="1" applyBorder="1"/>
    <xf numFmtId="0" fontId="0" fillId="15" borderId="2" xfId="0" applyFill="1" applyBorder="1" applyAlignment="1">
      <alignment horizontal="center"/>
    </xf>
    <xf numFmtId="0" fontId="0" fillId="15" borderId="3" xfId="0" applyFill="1" applyBorder="1"/>
    <xf numFmtId="0" fontId="0" fillId="7" borderId="0" xfId="0" applyFill="1" applyAlignment="1">
      <alignment horizontal="center"/>
    </xf>
    <xf numFmtId="0" fontId="3" fillId="7" borderId="0" xfId="0" applyFont="1" applyFill="1"/>
    <xf numFmtId="0" fontId="0" fillId="3" borderId="0" xfId="0" applyNumberFormat="1" applyFill="1" applyAlignment="1">
      <alignment horizontal="left" wrapText="1"/>
    </xf>
    <xf numFmtId="0" fontId="0" fillId="3" borderId="0" xfId="0" applyNumberFormat="1" applyFill="1" applyAlignment="1">
      <alignment horizontal="left"/>
    </xf>
    <xf numFmtId="0" fontId="0" fillId="3" borderId="0" xfId="0" applyNumberFormat="1" applyFill="1" applyAlignment="1"/>
    <xf numFmtId="0" fontId="3" fillId="0" borderId="7" xfId="0" applyFont="1" applyFill="1" applyBorder="1"/>
    <xf numFmtId="0" fontId="0" fillId="5" borderId="5" xfId="0" applyFill="1" applyBorder="1" applyAlignment="1" applyProtection="1">
      <alignment wrapText="1"/>
      <protection locked="0"/>
    </xf>
    <xf numFmtId="0" fontId="0" fillId="5" borderId="5" xfId="0" applyFont="1" applyFill="1" applyBorder="1" applyAlignment="1" applyProtection="1">
      <alignment wrapText="1"/>
      <protection locked="0"/>
    </xf>
    <xf numFmtId="0" fontId="0" fillId="5" borderId="5" xfId="0" applyFill="1" applyBorder="1" applyProtection="1">
      <protection locked="0"/>
    </xf>
    <xf numFmtId="0" fontId="3" fillId="0" borderId="5" xfId="0" applyFont="1" applyFill="1" applyBorder="1" applyAlignment="1">
      <alignment wrapText="1"/>
    </xf>
    <xf numFmtId="0" fontId="0" fillId="0" borderId="0" xfId="0" applyAlignment="1">
      <alignment wrapText="1"/>
    </xf>
    <xf numFmtId="0" fontId="3" fillId="0" borderId="5" xfId="0" applyFont="1" applyBorder="1"/>
    <xf numFmtId="0" fontId="3" fillId="0" borderId="5" xfId="0" applyFont="1" applyBorder="1" applyAlignment="1">
      <alignment wrapText="1"/>
    </xf>
    <xf numFmtId="0" fontId="3" fillId="0" borderId="0" xfId="0" applyFont="1"/>
    <xf numFmtId="0" fontId="0" fillId="5" borderId="5" xfId="0" applyFont="1" applyFill="1" applyBorder="1" applyProtection="1">
      <protection locked="0"/>
    </xf>
    <xf numFmtId="0" fontId="3" fillId="0" borderId="0" xfId="0" applyFont="1" applyProtection="1">
      <protection locked="0"/>
    </xf>
    <xf numFmtId="9" fontId="0" fillId="5" borderId="5" xfId="2"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2" borderId="0" xfId="0" applyFill="1" applyBorder="1"/>
    <xf numFmtId="0" fontId="8" fillId="2" borderId="0" xfId="0" applyFont="1" applyFill="1" applyAlignment="1" applyProtection="1"/>
    <xf numFmtId="0" fontId="40" fillId="2" borderId="0" xfId="0" applyFont="1" applyFill="1" applyProtection="1"/>
    <xf numFmtId="0" fontId="11" fillId="0" borderId="0" xfId="0" applyFont="1" applyFill="1"/>
    <xf numFmtId="0" fontId="10" fillId="0" borderId="0" xfId="0" applyFont="1" applyFill="1"/>
    <xf numFmtId="0" fontId="8" fillId="2" borderId="0" xfId="0" applyFont="1" applyFill="1" applyAlignment="1"/>
    <xf numFmtId="0" fontId="8" fillId="2" borderId="0" xfId="0" applyFont="1" applyFill="1" applyAlignment="1">
      <alignment wrapText="1"/>
    </xf>
    <xf numFmtId="0" fontId="0" fillId="2" borderId="0" xfId="0" applyFill="1"/>
    <xf numFmtId="0" fontId="8" fillId="2" borderId="0" xfId="0" applyFont="1" applyFill="1"/>
    <xf numFmtId="0" fontId="45" fillId="3" borderId="0" xfId="0" applyFont="1" applyFill="1" applyBorder="1"/>
    <xf numFmtId="0" fontId="14" fillId="0" borderId="15" xfId="0" applyFont="1" applyBorder="1"/>
    <xf numFmtId="43" fontId="10" fillId="0" borderId="0" xfId="1" applyFont="1"/>
    <xf numFmtId="0" fontId="47" fillId="3" borderId="0" xfId="0" applyNumberFormat="1" applyFont="1" applyFill="1" applyAlignment="1" applyProtection="1">
      <alignment horizontal="left" vertical="center"/>
    </xf>
    <xf numFmtId="0" fontId="48" fillId="0" borderId="0" xfId="0" applyFont="1" applyAlignment="1">
      <alignment vertical="center"/>
    </xf>
    <xf numFmtId="0" fontId="49" fillId="3" borderId="0" xfId="0" applyFont="1" applyFill="1" applyProtection="1"/>
    <xf numFmtId="0" fontId="47" fillId="3" borderId="0" xfId="0" applyFont="1" applyFill="1" applyProtection="1"/>
    <xf numFmtId="165" fontId="49" fillId="3" borderId="0" xfId="1" applyNumberFormat="1" applyFont="1" applyFill="1" applyAlignment="1" applyProtection="1">
      <alignment horizontal="right"/>
    </xf>
    <xf numFmtId="165" fontId="49" fillId="5" borderId="9" xfId="1" applyNumberFormat="1" applyFont="1" applyFill="1" applyBorder="1" applyAlignment="1" applyProtection="1">
      <alignment horizontal="right"/>
      <protection locked="0"/>
    </xf>
    <xf numFmtId="0" fontId="48" fillId="0" borderId="0" xfId="0" applyFont="1"/>
    <xf numFmtId="165" fontId="49" fillId="5" borderId="4" xfId="1" applyNumberFormat="1" applyFont="1" applyFill="1" applyBorder="1" applyAlignment="1" applyProtection="1">
      <alignment horizontal="right"/>
      <protection locked="0"/>
    </xf>
    <xf numFmtId="0" fontId="49" fillId="5" borderId="4" xfId="1" applyNumberFormat="1" applyFont="1" applyFill="1" applyBorder="1" applyAlignment="1" applyProtection="1">
      <alignment horizontal="right"/>
      <protection locked="0"/>
    </xf>
    <xf numFmtId="0" fontId="39" fillId="0" borderId="0" xfId="0" applyFont="1" applyFill="1"/>
    <xf numFmtId="0" fontId="49" fillId="5" borderId="9" xfId="0" applyFont="1" applyFill="1" applyBorder="1" applyAlignment="1" applyProtection="1">
      <alignment horizontal="right"/>
      <protection locked="0"/>
    </xf>
    <xf numFmtId="0" fontId="49" fillId="5" borderId="4" xfId="0" applyFont="1" applyFill="1" applyBorder="1" applyAlignment="1" applyProtection="1">
      <alignment horizontal="right"/>
      <protection locked="0"/>
    </xf>
    <xf numFmtId="0" fontId="46" fillId="0" borderId="0" xfId="5" applyNumberFormat="1" applyFont="1" applyFill="1" applyBorder="1" applyAlignment="1">
      <alignment horizontal="left" vertical="center"/>
    </xf>
    <xf numFmtId="9" fontId="49" fillId="0" borderId="0" xfId="2" applyFont="1" applyFill="1" applyBorder="1" applyAlignment="1" applyProtection="1">
      <alignment horizontal="right"/>
    </xf>
    <xf numFmtId="0" fontId="51" fillId="0" borderId="0" xfId="0" applyFont="1" applyFill="1" applyAlignment="1" applyProtection="1">
      <alignment horizontal="left" indent="1"/>
    </xf>
    <xf numFmtId="0" fontId="49" fillId="0" borderId="0" xfId="0" applyFont="1" applyFill="1" applyProtection="1"/>
    <xf numFmtId="0" fontId="49" fillId="3" borderId="0" xfId="0" applyFont="1" applyFill="1" applyBorder="1" applyProtection="1"/>
    <xf numFmtId="0" fontId="47" fillId="3" borderId="10" xfId="0" quotePrefix="1" applyFont="1" applyFill="1" applyBorder="1" applyAlignment="1" applyProtection="1">
      <alignment horizontal="center"/>
    </xf>
    <xf numFmtId="0" fontId="47" fillId="3" borderId="11" xfId="0" quotePrefix="1" applyFont="1" applyFill="1" applyBorder="1" applyAlignment="1" applyProtection="1">
      <alignment horizontal="center"/>
    </xf>
    <xf numFmtId="1" fontId="52" fillId="5" borderId="12" xfId="1" applyNumberFormat="1" applyFont="1" applyFill="1" applyBorder="1" applyAlignment="1" applyProtection="1">
      <alignment horizontal="right"/>
    </xf>
    <xf numFmtId="1" fontId="49" fillId="5" borderId="5" xfId="0" applyNumberFormat="1" applyFont="1" applyFill="1" applyBorder="1" applyProtection="1"/>
    <xf numFmtId="1" fontId="49" fillId="5" borderId="12" xfId="1" applyNumberFormat="1" applyFont="1" applyFill="1" applyBorder="1" applyAlignment="1" applyProtection="1">
      <alignment horizontal="right"/>
    </xf>
    <xf numFmtId="1" fontId="49" fillId="0" borderId="0" xfId="1" applyNumberFormat="1" applyFont="1" applyFill="1" applyBorder="1" applyAlignment="1" applyProtection="1">
      <alignment horizontal="right"/>
    </xf>
    <xf numFmtId="1" fontId="49" fillId="0" borderId="0" xfId="0" applyNumberFormat="1" applyFont="1" applyFill="1" applyBorder="1" applyProtection="1"/>
    <xf numFmtId="0" fontId="49" fillId="5" borderId="5" xfId="0" applyFont="1" applyFill="1" applyBorder="1" applyProtection="1"/>
    <xf numFmtId="165" fontId="49" fillId="0" borderId="0" xfId="1" applyNumberFormat="1" applyFont="1" applyFill="1" applyBorder="1" applyAlignment="1" applyProtection="1">
      <alignment horizontal="right"/>
    </xf>
    <xf numFmtId="0" fontId="49" fillId="0" borderId="0" xfId="0" applyFont="1" applyFill="1" applyBorder="1" applyProtection="1"/>
    <xf numFmtId="9" fontId="49" fillId="5" borderId="12" xfId="2" applyFont="1" applyFill="1" applyBorder="1" applyAlignment="1" applyProtection="1">
      <alignment horizontal="right"/>
    </xf>
    <xf numFmtId="9" fontId="49" fillId="5" borderId="5" xfId="0" applyNumberFormat="1" applyFont="1" applyFill="1" applyBorder="1" applyProtection="1"/>
    <xf numFmtId="0" fontId="48" fillId="0" borderId="0" xfId="0" applyFont="1" applyAlignment="1">
      <alignment vertical="center" wrapText="1"/>
    </xf>
    <xf numFmtId="0" fontId="3" fillId="5" borderId="5" xfId="0" applyFont="1" applyFill="1" applyBorder="1" applyProtection="1">
      <protection locked="0"/>
    </xf>
    <xf numFmtId="172" fontId="14" fillId="14" borderId="16" xfId="1" applyNumberFormat="1" applyFont="1" applyFill="1" applyBorder="1"/>
    <xf numFmtId="172" fontId="10" fillId="14" borderId="16" xfId="1" applyNumberFormat="1" applyFont="1" applyFill="1" applyBorder="1"/>
    <xf numFmtId="172" fontId="10" fillId="14" borderId="0" xfId="1" applyNumberFormat="1" applyFont="1" applyFill="1" applyBorder="1"/>
    <xf numFmtId="172" fontId="14" fillId="14" borderId="16" xfId="15" applyNumberFormat="1" applyFont="1" applyFill="1" applyBorder="1" applyAlignment="1">
      <alignment horizontal="center" vertical="center"/>
    </xf>
    <xf numFmtId="172" fontId="14" fillId="14" borderId="16" xfId="1" applyNumberFormat="1" applyFont="1" applyFill="1" applyBorder="1" applyAlignment="1">
      <alignment horizontal="center" vertical="center"/>
    </xf>
    <xf numFmtId="172" fontId="10" fillId="14" borderId="0" xfId="0" applyNumberFormat="1" applyFont="1" applyFill="1"/>
    <xf numFmtId="43" fontId="10" fillId="14" borderId="0" xfId="1" applyFont="1" applyFill="1"/>
    <xf numFmtId="171" fontId="10" fillId="14" borderId="0" xfId="1" applyNumberFormat="1" applyFont="1" applyFill="1"/>
    <xf numFmtId="171" fontId="10" fillId="14" borderId="16" xfId="1" applyNumberFormat="1" applyFont="1" applyFill="1" applyBorder="1"/>
    <xf numFmtId="171" fontId="10" fillId="14" borderId="0" xfId="1" applyNumberFormat="1" applyFont="1" applyFill="1" applyBorder="1"/>
    <xf numFmtId="171" fontId="10" fillId="14" borderId="15" xfId="1" applyNumberFormat="1" applyFont="1" applyFill="1" applyBorder="1"/>
    <xf numFmtId="43" fontId="10" fillId="14" borderId="16" xfId="1" applyFont="1" applyFill="1" applyBorder="1"/>
    <xf numFmtId="167" fontId="14" fillId="14" borderId="16" xfId="1" applyNumberFormat="1" applyFont="1" applyFill="1" applyBorder="1" applyAlignment="1">
      <alignment horizontal="center" vertical="center"/>
    </xf>
    <xf numFmtId="172" fontId="14" fillId="14" borderId="16" xfId="4" applyNumberFormat="1" applyFont="1" applyFill="1" applyBorder="1">
      <alignment horizontal="center" vertical="center"/>
    </xf>
    <xf numFmtId="167" fontId="14" fillId="14" borderId="16" xfId="4" applyNumberFormat="1" applyFont="1" applyFill="1" applyBorder="1">
      <alignment horizontal="center" vertical="center"/>
    </xf>
    <xf numFmtId="168" fontId="14" fillId="14" borderId="16" xfId="4" applyFont="1" applyFill="1" applyBorder="1">
      <alignment horizontal="center" vertical="center"/>
    </xf>
    <xf numFmtId="165" fontId="17" fillId="16" borderId="11" xfId="1" applyNumberFormat="1" applyFont="1" applyFill="1" applyBorder="1"/>
    <xf numFmtId="166" fontId="17" fillId="16" borderId="5" xfId="2" applyNumberFormat="1" applyFont="1" applyFill="1" applyBorder="1"/>
    <xf numFmtId="9" fontId="17" fillId="16" borderId="5" xfId="2" applyFont="1" applyFill="1" applyBorder="1"/>
    <xf numFmtId="165" fontId="17" fillId="16" borderId="5" xfId="1" applyNumberFormat="1" applyFont="1" applyFill="1" applyBorder="1"/>
    <xf numFmtId="9" fontId="17" fillId="16" borderId="14" xfId="2" applyFont="1" applyFill="1" applyBorder="1"/>
    <xf numFmtId="165" fontId="17" fillId="16" borderId="21" xfId="1" applyNumberFormat="1" applyFont="1" applyFill="1" applyBorder="1"/>
    <xf numFmtId="165" fontId="17" fillId="16" borderId="14" xfId="1" applyNumberFormat="1" applyFont="1" applyFill="1" applyBorder="1"/>
    <xf numFmtId="165" fontId="17" fillId="16" borderId="22" xfId="1" applyNumberFormat="1" applyFont="1" applyFill="1" applyBorder="1"/>
    <xf numFmtId="165" fontId="0" fillId="16" borderId="5" xfId="1" applyNumberFormat="1" applyFont="1" applyFill="1" applyBorder="1" applyAlignment="1">
      <alignment vertical="top" wrapText="1"/>
    </xf>
    <xf numFmtId="165" fontId="18" fillId="16" borderId="14" xfId="1" applyNumberFormat="1" applyFont="1" applyFill="1" applyBorder="1"/>
    <xf numFmtId="0" fontId="3" fillId="16" borderId="0" xfId="0" applyFont="1" applyFill="1" applyAlignment="1">
      <alignment horizontal="center"/>
    </xf>
    <xf numFmtId="167" fontId="37" fillId="15" borderId="0" xfId="13" applyNumberFormat="1" applyFont="1" applyFill="1" applyAlignment="1" applyProtection="1">
      <alignment horizontal="center" vertical="center"/>
    </xf>
    <xf numFmtId="0" fontId="55" fillId="0" borderId="0" xfId="0" applyFont="1" applyAlignment="1">
      <alignment horizontal="left"/>
    </xf>
    <xf numFmtId="49" fontId="56" fillId="0" borderId="0" xfId="8" applyFont="1" applyAlignment="1">
      <alignment horizontal="left" vertical="center"/>
    </xf>
    <xf numFmtId="172" fontId="14" fillId="0" borderId="0" xfId="4" applyNumberFormat="1" applyFont="1" applyFill="1" applyBorder="1">
      <alignment horizontal="center" vertical="center"/>
    </xf>
    <xf numFmtId="49" fontId="57" fillId="0" borderId="0" xfId="8" applyFont="1" applyAlignment="1">
      <alignment horizontal="left" vertical="center"/>
    </xf>
    <xf numFmtId="49" fontId="13" fillId="0" borderId="0" xfId="8" applyFont="1" applyAlignment="1">
      <alignment horizontal="left" vertical="center"/>
    </xf>
    <xf numFmtId="167" fontId="37" fillId="15" borderId="0" xfId="13" applyNumberFormat="1" applyFont="1" applyFill="1" applyAlignment="1" applyProtection="1">
      <alignment horizontal="left" vertical="center"/>
    </xf>
    <xf numFmtId="0" fontId="49" fillId="0" borderId="0" xfId="16"/>
    <xf numFmtId="0" fontId="49" fillId="0" borderId="28" xfId="16" applyBorder="1"/>
    <xf numFmtId="0" fontId="49" fillId="0" borderId="29" xfId="16" applyBorder="1"/>
    <xf numFmtId="0" fontId="49" fillId="0" borderId="30" xfId="16" applyBorder="1"/>
    <xf numFmtId="0" fontId="49" fillId="0" borderId="31" xfId="16" applyBorder="1" applyAlignment="1"/>
    <xf numFmtId="0" fontId="49" fillId="0" borderId="32" xfId="16" applyBorder="1" applyAlignment="1">
      <alignment wrapText="1"/>
    </xf>
    <xf numFmtId="0" fontId="49" fillId="0" borderId="33" xfId="16" applyBorder="1"/>
    <xf numFmtId="0" fontId="49" fillId="0" borderId="26" xfId="16" applyBorder="1"/>
    <xf numFmtId="0" fontId="49" fillId="0" borderId="34" xfId="16" applyBorder="1"/>
    <xf numFmtId="0" fontId="49" fillId="0" borderId="32" xfId="16" applyBorder="1"/>
    <xf numFmtId="0" fontId="49" fillId="0" borderId="34" xfId="16" applyFill="1" applyBorder="1"/>
    <xf numFmtId="0" fontId="49" fillId="0" borderId="34" xfId="16" applyFill="1" applyBorder="1" applyAlignment="1"/>
    <xf numFmtId="0" fontId="49" fillId="0" borderId="32" xfId="16" applyFill="1" applyBorder="1"/>
    <xf numFmtId="0" fontId="49" fillId="0" borderId="33" xfId="16" applyFill="1" applyBorder="1"/>
    <xf numFmtId="0" fontId="49" fillId="0" borderId="0" xfId="16" applyFill="1"/>
    <xf numFmtId="0" fontId="49" fillId="0" borderId="35" xfId="16" applyBorder="1"/>
    <xf numFmtId="0" fontId="49" fillId="0" borderId="36" xfId="16" applyBorder="1"/>
    <xf numFmtId="0" fontId="49" fillId="0" borderId="37" xfId="16" applyBorder="1"/>
    <xf numFmtId="9" fontId="49" fillId="5" borderId="5" xfId="2" applyFont="1" applyFill="1" applyBorder="1" applyProtection="1"/>
    <xf numFmtId="1" fontId="8" fillId="2" borderId="0" xfId="0" applyNumberFormat="1" applyFont="1" applyFill="1" applyAlignment="1"/>
    <xf numFmtId="1" fontId="0" fillId="0" borderId="0" xfId="0" applyNumberFormat="1"/>
    <xf numFmtId="1" fontId="3" fillId="0" borderId="5" xfId="0" applyNumberFormat="1" applyFont="1" applyBorder="1"/>
    <xf numFmtId="1" fontId="0" fillId="5" borderId="5" xfId="0" applyNumberFormat="1" applyFont="1" applyFill="1" applyBorder="1" applyProtection="1">
      <protection locked="0"/>
    </xf>
    <xf numFmtId="1" fontId="0" fillId="5" borderId="5" xfId="2" applyNumberFormat="1" applyFont="1" applyFill="1" applyBorder="1" applyProtection="1">
      <protection locked="0"/>
    </xf>
    <xf numFmtId="1" fontId="0" fillId="5" borderId="5" xfId="1" applyNumberFormat="1" applyFont="1" applyFill="1" applyBorder="1" applyProtection="1">
      <protection locked="0"/>
    </xf>
    <xf numFmtId="1" fontId="0" fillId="5" borderId="5" xfId="0" applyNumberFormat="1" applyFill="1" applyBorder="1" applyProtection="1">
      <protection locked="0"/>
    </xf>
    <xf numFmtId="1" fontId="0" fillId="0" borderId="0" xfId="0" applyNumberFormat="1" applyProtection="1">
      <protection locked="0"/>
    </xf>
    <xf numFmtId="0" fontId="23" fillId="5" borderId="0" xfId="12" applyFont="1" applyFill="1" applyBorder="1" applyAlignment="1">
      <alignment horizontal="left" vertical="center"/>
    </xf>
    <xf numFmtId="1" fontId="49" fillId="18" borderId="5" xfId="0" applyNumberFormat="1" applyFont="1" applyFill="1" applyBorder="1" applyProtection="1"/>
    <xf numFmtId="0" fontId="58" fillId="17" borderId="0" xfId="16" applyFont="1" applyFill="1"/>
    <xf numFmtId="0" fontId="8" fillId="2" borderId="0" xfId="0" applyFont="1" applyFill="1" applyBorder="1" applyAlignment="1">
      <alignment horizontal="center"/>
    </xf>
    <xf numFmtId="0" fontId="4" fillId="3" borderId="0"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3" borderId="0" xfId="0" applyFill="1" applyAlignment="1">
      <alignment horizontal="left" vertical="top" wrapText="1"/>
    </xf>
    <xf numFmtId="0" fontId="4" fillId="3" borderId="0" xfId="0" applyFont="1" applyFill="1" applyBorder="1" applyAlignment="1">
      <alignment horizontal="left"/>
    </xf>
    <xf numFmtId="0" fontId="50" fillId="0" borderId="6" xfId="0" applyNumberFormat="1" applyFont="1" applyBorder="1" applyAlignment="1" applyProtection="1">
      <alignment horizontal="left" vertical="center" wrapText="1"/>
    </xf>
    <xf numFmtId="0" fontId="50" fillId="0" borderId="7" xfId="0" applyNumberFormat="1" applyFont="1" applyBorder="1" applyAlignment="1" applyProtection="1">
      <alignment horizontal="left" vertical="center" wrapText="1"/>
    </xf>
    <xf numFmtId="0" fontId="50" fillId="0" borderId="8" xfId="0" applyNumberFormat="1" applyFont="1" applyBorder="1" applyAlignment="1" applyProtection="1">
      <alignment horizontal="left" vertical="center" wrapText="1"/>
    </xf>
    <xf numFmtId="49" fontId="23" fillId="10" borderId="0" xfId="8" applyFont="1" applyFill="1" applyAlignment="1">
      <alignment horizontal="left" vertical="top" wrapText="1"/>
    </xf>
    <xf numFmtId="0" fontId="15" fillId="0" borderId="0" xfId="5" applyAlignment="1">
      <alignment horizontal="left"/>
    </xf>
    <xf numFmtId="0" fontId="1" fillId="0" borderId="0" xfId="16" applyFont="1"/>
    <xf numFmtId="0" fontId="1" fillId="3" borderId="31" xfId="16" applyFont="1" applyFill="1" applyBorder="1" applyAlignment="1"/>
    <xf numFmtId="0" fontId="1" fillId="3" borderId="38" xfId="16" applyFont="1" applyFill="1" applyBorder="1" applyAlignment="1"/>
    <xf numFmtId="0" fontId="1" fillId="0" borderId="34" xfId="16" applyFont="1" applyBorder="1" applyAlignment="1"/>
    <xf numFmtId="0" fontId="1" fillId="0" borderId="31" xfId="16" applyFont="1" applyBorder="1" applyAlignment="1"/>
    <xf numFmtId="0" fontId="1" fillId="0" borderId="34" xfId="16" applyFont="1" applyBorder="1"/>
  </cellXfs>
  <cellStyles count="17">
    <cellStyle name="_TB_def_numbercrrcy" xfId="13" xr:uid="{00000000-0005-0000-0000-000000000000}"/>
    <cellStyle name="_TB_def_numbercrrcy 2" xfId="14" xr:uid="{00000000-0005-0000-0000-000001000000}"/>
    <cellStyle name="_TB_idcountry" xfId="9" xr:uid="{00000000-0005-0000-0000-000002000000}"/>
    <cellStyle name="_TB_input_number" xfId="10" xr:uid="{00000000-0005-0000-0000-000003000000}"/>
    <cellStyle name="_TB_navigation" xfId="3" xr:uid="{00000000-0005-0000-0000-000004000000}"/>
    <cellStyle name="_TB_results1" xfId="4" xr:uid="{00000000-0005-0000-0000-000005000000}"/>
    <cellStyle name="_TB_sheettitle" xfId="7" xr:uid="{00000000-0005-0000-0000-000006000000}"/>
    <cellStyle name="_TB_subtitle1" xfId="8" xr:uid="{00000000-0005-0000-0000-000007000000}"/>
    <cellStyle name="_TB_textunprotect" xfId="6" xr:uid="{00000000-0005-0000-0000-000008000000}"/>
    <cellStyle name="_TB_years" xfId="11" xr:uid="{00000000-0005-0000-0000-000009000000}"/>
    <cellStyle name="Collegamento ipertestuale" xfId="5" builtinId="8"/>
    <cellStyle name="Migliaia" xfId="1" builtinId="3"/>
    <cellStyle name="Normal 10" xfId="12" xr:uid="{00000000-0005-0000-0000-00000E000000}"/>
    <cellStyle name="Normal 2" xfId="16" xr:uid="{00000000-0005-0000-0000-00000F000000}"/>
    <cellStyle name="Normale" xfId="0" builtinId="0"/>
    <cellStyle name="Percentuale" xfId="2" builtinId="5"/>
    <cellStyle name="Valuta" xfId="15"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19050</xdr:rowOff>
    </xdr:from>
    <xdr:to>
      <xdr:col>2</xdr:col>
      <xdr:colOff>390525</xdr:colOff>
      <xdr:row>1</xdr:row>
      <xdr:rowOff>9525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524250" y="19050"/>
          <a:ext cx="1343025" cy="228600"/>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400" b="1"/>
            <a:t>BACK TO MENU</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3176</xdr:colOff>
      <xdr:row>1</xdr:row>
      <xdr:rowOff>139700</xdr:rowOff>
    </xdr:from>
    <xdr:to>
      <xdr:col>4</xdr:col>
      <xdr:colOff>0</xdr:colOff>
      <xdr:row>3</xdr:row>
      <xdr:rowOff>47625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7832726" y="187325"/>
          <a:ext cx="2025650" cy="231775"/>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400" b="1"/>
            <a:t>BACK TO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4737099</xdr:colOff>
      <xdr:row>1</xdr:row>
      <xdr:rowOff>25400</xdr:rowOff>
    </xdr:from>
    <xdr:to>
      <xdr:col>3</xdr:col>
      <xdr:colOff>95249</xdr:colOff>
      <xdr:row>2</xdr:row>
      <xdr:rowOff>66675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632699" y="225425"/>
          <a:ext cx="1425575" cy="241300"/>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12700</xdr:colOff>
      <xdr:row>0</xdr:row>
      <xdr:rowOff>177800</xdr:rowOff>
    </xdr:from>
    <xdr:to>
      <xdr:col>3</xdr:col>
      <xdr:colOff>673100</xdr:colOff>
      <xdr:row>2</xdr:row>
      <xdr:rowOff>15875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286500" y="177800"/>
          <a:ext cx="1485900" cy="231775"/>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12700</xdr:colOff>
      <xdr:row>1</xdr:row>
      <xdr:rowOff>0</xdr:rowOff>
    </xdr:from>
    <xdr:to>
      <xdr:col>4</xdr:col>
      <xdr:colOff>101600</xdr:colOff>
      <xdr:row>2</xdr:row>
      <xdr:rowOff>28575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477000" y="0"/>
          <a:ext cx="1485900" cy="231775"/>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19050</xdr:rowOff>
    </xdr:from>
    <xdr:to>
      <xdr:col>2</xdr:col>
      <xdr:colOff>390525</xdr:colOff>
      <xdr:row>1</xdr:row>
      <xdr:rowOff>9525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4022725" y="19050"/>
          <a:ext cx="1485900" cy="231775"/>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3762375</xdr:colOff>
      <xdr:row>0</xdr:row>
      <xdr:rowOff>19050</xdr:rowOff>
    </xdr:from>
    <xdr:to>
      <xdr:col>1</xdr:col>
      <xdr:colOff>5153025</xdr:colOff>
      <xdr:row>1</xdr:row>
      <xdr:rowOff>47625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05300" y="19050"/>
          <a:ext cx="1390650" cy="266700"/>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3981450</xdr:colOff>
      <xdr:row>0</xdr:row>
      <xdr:rowOff>0</xdr:rowOff>
    </xdr:from>
    <xdr:to>
      <xdr:col>1</xdr:col>
      <xdr:colOff>5610225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05475" y="0"/>
          <a:ext cx="1628775" cy="238125"/>
        </a:xfrm>
        <a:prstGeom prst="rect">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000" b="1"/>
            <a:t>BACK TO 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effieldacuk0-my.sharepoint.com/personal/n_mafirakureva_sheffield_ac_uk/Documents/CaPTB/Budgeting%20tool/tb_budgetingtemplate_v6_en_usd_20160331%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cm1nm/OneDrive%20-%20sheffield.ac.uk/CaPTB/Budgeting%20tool/Paediatric%20TB%20Training%20Budgeting%20tool_comple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labels"/>
      <sheetName val="_settings"/>
      <sheetName val="Welcome"/>
      <sheetName val="Options"/>
      <sheetName val="Guidelines"/>
      <sheetName val="Revision history"/>
      <sheetName val="Notes"/>
      <sheetName val="Baseline Budget"/>
      <sheetName val="Epidemiology"/>
      <sheetName val="Unit Costs"/>
      <sheetName val="Improving diagnosis"/>
      <sheetName val="Lab items list"/>
      <sheetName val="Calculate n. diagnostic tests"/>
      <sheetName val="Patient support"/>
      <sheetName val="First-line drugs"/>
      <sheetName val="Calculate ancillary dr"/>
      <sheetName val="Calculate FLD"/>
      <sheetName val="Calculate SLD"/>
      <sheetName val="_SLD short reg"/>
      <sheetName val="TBHIV_drug_cost"/>
      <sheetName val="M&amp;E"/>
      <sheetName val="Management &amp; supervision"/>
      <sheetName val="Staff"/>
      <sheetName val="International TA"/>
      <sheetName val="Training"/>
      <sheetName val="TB HIV"/>
      <sheetName val="MDR TB"/>
      <sheetName val="High risk grups"/>
      <sheetName val="Infection control"/>
      <sheetName val="Screening"/>
      <sheetName val="PAL"/>
      <sheetName val="PPM"/>
      <sheetName val="Partnering"/>
      <sheetName val="Community involvement"/>
      <sheetName val="OR"/>
      <sheetName val="Other"/>
      <sheetName val="Use general health services"/>
      <sheetName val="Table Costs Funding"/>
      <sheetName val="Table Costs by activity"/>
      <sheetName val="Fig Costs"/>
      <sheetName val="Fig Funding"/>
      <sheetName val="Fig costs by Implementer"/>
      <sheetName val="Fig 3 scenarios"/>
      <sheetName val="Table budget &amp; funding"/>
      <sheetName val="Table as in WHO form"/>
      <sheetName val="Table CostCategoriesGF"/>
      <sheetName val="ObjInt_Summary"/>
      <sheetName val="Config_Objectives"/>
      <sheetName val="Lists"/>
      <sheetName val="New GF Mandatory tables"/>
      <sheetName val="_EnableMacros"/>
      <sheetName val="GF cost categories"/>
      <sheetName val="Modular approach"/>
      <sheetName val="NSP act, inter, obj"/>
      <sheetName val="Sheet1"/>
    </sheetNames>
    <sheetDataSet>
      <sheetData sheetId="0">
        <row r="1">
          <cell r="A1" t="str">
            <v>Country</v>
          </cell>
          <cell r="B1" t="str">
            <v>ISO3</v>
          </cell>
          <cell r="C1" t="str">
            <v>UnitCode</v>
          </cell>
          <cell r="D1" t="str">
            <v>GP2region</v>
          </cell>
          <cell r="E1" t="str">
            <v xml:space="preserve">Currency </v>
          </cell>
          <cell r="F1" t="str">
            <v>Exchange Rate</v>
          </cell>
          <cell r="G1">
            <v>2010</v>
          </cell>
          <cell r="H1">
            <v>2011</v>
          </cell>
          <cell r="I1">
            <v>2012</v>
          </cell>
          <cell r="J1">
            <v>2013</v>
          </cell>
          <cell r="K1">
            <v>2014</v>
          </cell>
          <cell r="L1">
            <v>2015</v>
          </cell>
          <cell r="M1">
            <v>2016</v>
          </cell>
          <cell r="N1">
            <v>2017</v>
          </cell>
          <cell r="O1">
            <v>2018</v>
          </cell>
          <cell r="P1">
            <v>2019</v>
          </cell>
          <cell r="Q1">
            <v>2020</v>
          </cell>
          <cell r="R1">
            <v>2021</v>
          </cell>
          <cell r="S1">
            <v>2022</v>
          </cell>
          <cell r="T1">
            <v>2023</v>
          </cell>
          <cell r="U1">
            <v>2024</v>
          </cell>
          <cell r="V1">
            <v>2025</v>
          </cell>
          <cell r="W1">
            <v>2016</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AB2"/>
        </row>
        <row r="3">
          <cell r="A3" t="str">
            <v>Afghanistan</v>
          </cell>
          <cell r="B3" t="str">
            <v>AFG</v>
          </cell>
          <cell r="C3" t="str">
            <v>AFG</v>
          </cell>
          <cell r="D3" t="str">
            <v>EMR</v>
          </cell>
          <cell r="E3" t="str">
            <v>Afghani</v>
          </cell>
          <cell r="F3">
            <v>57</v>
          </cell>
          <cell r="G3">
            <v>27962207</v>
          </cell>
          <cell r="H3">
            <v>28809167</v>
          </cell>
          <cell r="I3">
            <v>29726803</v>
          </cell>
          <cell r="J3">
            <v>30682500</v>
          </cell>
          <cell r="K3">
            <v>31627506</v>
          </cell>
          <cell r="L3">
            <v>32526562</v>
          </cell>
          <cell r="M3">
            <v>33369945</v>
          </cell>
          <cell r="N3">
            <v>34169169</v>
          </cell>
          <cell r="O3">
            <v>34935713</v>
          </cell>
          <cell r="P3">
            <v>35688822</v>
          </cell>
          <cell r="Q3">
            <v>36442719</v>
          </cell>
          <cell r="R3">
            <v>37199253</v>
          </cell>
          <cell r="S3">
            <v>37953559</v>
          </cell>
          <cell r="T3">
            <v>38705458</v>
          </cell>
          <cell r="U3">
            <v>39453556</v>
          </cell>
          <cell r="V3">
            <v>40196823</v>
          </cell>
          <cell r="W3" t="str">
            <v>AFG</v>
          </cell>
          <cell r="X3"/>
          <cell r="Y3"/>
          <cell r="Z3"/>
          <cell r="AA3"/>
          <cell r="AB3"/>
          <cell r="AC3"/>
          <cell r="AD3"/>
        </row>
        <row r="4">
          <cell r="A4" t="str">
            <v>Albania</v>
          </cell>
          <cell r="B4" t="str">
            <v>ALB</v>
          </cell>
          <cell r="C4" t="str">
            <v>ALB</v>
          </cell>
          <cell r="D4" t="str">
            <v>CEUR</v>
          </cell>
          <cell r="E4">
            <v>0</v>
          </cell>
          <cell r="F4">
            <v>105</v>
          </cell>
          <cell r="G4">
            <v>2901883</v>
          </cell>
          <cell r="H4">
            <v>2886010</v>
          </cell>
          <cell r="I4">
            <v>2880667</v>
          </cell>
          <cell r="J4">
            <v>2883281</v>
          </cell>
          <cell r="K4">
            <v>2889676</v>
          </cell>
          <cell r="L4">
            <v>2896679</v>
          </cell>
          <cell r="M4">
            <v>2903700</v>
          </cell>
          <cell r="N4">
            <v>2911428</v>
          </cell>
          <cell r="O4">
            <v>2919422</v>
          </cell>
          <cell r="P4">
            <v>2927414</v>
          </cell>
          <cell r="Q4">
            <v>2935146</v>
          </cell>
          <cell r="R4">
            <v>2942198</v>
          </cell>
          <cell r="S4">
            <v>2948204</v>
          </cell>
          <cell r="T4">
            <v>2953080</v>
          </cell>
          <cell r="U4">
            <v>2956857</v>
          </cell>
          <cell r="V4">
            <v>2959545</v>
          </cell>
          <cell r="W4" t="str">
            <v>ALB</v>
          </cell>
          <cell r="X4"/>
          <cell r="Y4"/>
          <cell r="Z4"/>
          <cell r="AA4"/>
          <cell r="AB4"/>
          <cell r="AC4"/>
          <cell r="AD4"/>
        </row>
        <row r="5">
          <cell r="A5" t="str">
            <v>Algeria</v>
          </cell>
          <cell r="B5" t="str">
            <v>DZA</v>
          </cell>
          <cell r="C5" t="str">
            <v>ALG</v>
          </cell>
          <cell r="D5" t="str">
            <v>AFRlow</v>
          </cell>
          <cell r="E5" t="str">
            <v>Dinar</v>
          </cell>
          <cell r="F5">
            <v>81</v>
          </cell>
          <cell r="G5">
            <v>36036159</v>
          </cell>
          <cell r="H5">
            <v>36717132</v>
          </cell>
          <cell r="I5">
            <v>37439427</v>
          </cell>
          <cell r="J5">
            <v>38186135</v>
          </cell>
          <cell r="K5">
            <v>38934334</v>
          </cell>
          <cell r="L5">
            <v>39666519</v>
          </cell>
          <cell r="M5">
            <v>40375954</v>
          </cell>
          <cell r="N5">
            <v>41063753</v>
          </cell>
          <cell r="O5">
            <v>41729942</v>
          </cell>
          <cell r="P5">
            <v>42377306</v>
          </cell>
          <cell r="Q5">
            <v>43007769</v>
          </cell>
          <cell r="R5">
            <v>43619861</v>
          </cell>
          <cell r="S5">
            <v>44211129</v>
          </cell>
          <cell r="T5">
            <v>44781837</v>
          </cell>
          <cell r="U5">
            <v>45332763</v>
          </cell>
          <cell r="V5">
            <v>45864784</v>
          </cell>
          <cell r="W5" t="str">
            <v>DZA</v>
          </cell>
          <cell r="X5"/>
          <cell r="Y5"/>
          <cell r="Z5"/>
          <cell r="AA5"/>
          <cell r="AB5"/>
          <cell r="AC5"/>
          <cell r="AD5"/>
        </row>
        <row r="6">
          <cell r="A6" t="str">
            <v>American Samoa</v>
          </cell>
          <cell r="B6" t="str">
            <v>ASM</v>
          </cell>
          <cell r="C6" t="str">
            <v>AMS</v>
          </cell>
          <cell r="D6" t="str">
            <v>WPR</v>
          </cell>
          <cell r="E6">
            <v>0</v>
          </cell>
          <cell r="F6">
            <v>0</v>
          </cell>
          <cell r="G6">
            <v>55636</v>
          </cell>
          <cell r="H6">
            <v>55316</v>
          </cell>
          <cell r="I6">
            <v>55227</v>
          </cell>
          <cell r="J6">
            <v>55302</v>
          </cell>
          <cell r="K6">
            <v>55434</v>
          </cell>
          <cell r="L6">
            <v>55538</v>
          </cell>
          <cell r="M6">
            <v>55602</v>
          </cell>
          <cell r="N6">
            <v>55653</v>
          </cell>
          <cell r="O6">
            <v>55699</v>
          </cell>
          <cell r="P6">
            <v>55759</v>
          </cell>
          <cell r="Q6">
            <v>55847</v>
          </cell>
          <cell r="R6">
            <v>55960</v>
          </cell>
          <cell r="S6">
            <v>56087</v>
          </cell>
          <cell r="T6">
            <v>56226</v>
          </cell>
          <cell r="U6">
            <v>56374</v>
          </cell>
          <cell r="V6">
            <v>56526</v>
          </cell>
          <cell r="W6" t="str">
            <v>ASM</v>
          </cell>
          <cell r="X6"/>
          <cell r="Y6"/>
          <cell r="Z6"/>
          <cell r="AA6"/>
          <cell r="AB6"/>
          <cell r="AC6"/>
          <cell r="AD6"/>
        </row>
        <row r="7">
          <cell r="A7" t="str">
            <v>Andorra</v>
          </cell>
          <cell r="B7" t="str">
            <v>AND</v>
          </cell>
          <cell r="C7" t="str">
            <v>AND</v>
          </cell>
          <cell r="D7" t="str">
            <v>EME</v>
          </cell>
          <cell r="E7">
            <v>0</v>
          </cell>
          <cell r="F7">
            <v>0</v>
          </cell>
          <cell r="G7">
            <v>84419</v>
          </cell>
          <cell r="H7">
            <v>82326</v>
          </cell>
          <cell r="I7">
            <v>79316</v>
          </cell>
          <cell r="J7">
            <v>75902</v>
          </cell>
          <cell r="K7">
            <v>72786</v>
          </cell>
          <cell r="L7">
            <v>70473</v>
          </cell>
          <cell r="M7">
            <v>69165</v>
          </cell>
          <cell r="N7">
            <v>68728</v>
          </cell>
          <cell r="O7">
            <v>68915</v>
          </cell>
          <cell r="P7">
            <v>69324</v>
          </cell>
          <cell r="Q7">
            <v>69654</v>
          </cell>
          <cell r="R7">
            <v>69856</v>
          </cell>
          <cell r="S7">
            <v>70019</v>
          </cell>
          <cell r="T7">
            <v>70150</v>
          </cell>
          <cell r="U7">
            <v>70288</v>
          </cell>
          <cell r="V7">
            <v>70456</v>
          </cell>
          <cell r="W7" t="str">
            <v>AND</v>
          </cell>
          <cell r="X7"/>
          <cell r="Y7"/>
          <cell r="Z7"/>
          <cell r="AA7"/>
          <cell r="AB7"/>
          <cell r="AC7"/>
          <cell r="AD7"/>
        </row>
        <row r="8">
          <cell r="A8" t="str">
            <v>Angola</v>
          </cell>
          <cell r="B8" t="str">
            <v>AGO</v>
          </cell>
          <cell r="C8" t="str">
            <v>ANG</v>
          </cell>
          <cell r="D8" t="str">
            <v>AFRlow</v>
          </cell>
          <cell r="E8" t="str">
            <v>Kwanzas</v>
          </cell>
          <cell r="F8">
            <v>98</v>
          </cell>
          <cell r="G8">
            <v>21219954</v>
          </cell>
          <cell r="H8">
            <v>21942296</v>
          </cell>
          <cell r="I8">
            <v>22685632</v>
          </cell>
          <cell r="J8">
            <v>23448202</v>
          </cell>
          <cell r="K8">
            <v>24227524</v>
          </cell>
          <cell r="L8">
            <v>25021974</v>
          </cell>
          <cell r="M8">
            <v>25830958</v>
          </cell>
          <cell r="N8">
            <v>26655513</v>
          </cell>
          <cell r="O8">
            <v>27497645</v>
          </cell>
          <cell r="P8">
            <v>28360201</v>
          </cell>
          <cell r="Q8">
            <v>29245334</v>
          </cell>
          <cell r="R8">
            <v>30153703</v>
          </cell>
          <cell r="S8">
            <v>31085008</v>
          </cell>
          <cell r="T8">
            <v>32039277</v>
          </cell>
          <cell r="U8">
            <v>33016254</v>
          </cell>
          <cell r="V8">
            <v>34015730</v>
          </cell>
          <cell r="W8" t="str">
            <v>AGO</v>
          </cell>
          <cell r="X8"/>
          <cell r="Y8"/>
          <cell r="Z8"/>
          <cell r="AA8"/>
          <cell r="AB8"/>
          <cell r="AC8"/>
          <cell r="AD8"/>
        </row>
        <row r="9">
          <cell r="A9" t="str">
            <v>Anguilla</v>
          </cell>
          <cell r="B9" t="str">
            <v>AIA</v>
          </cell>
          <cell r="C9" t="str">
            <v>ANU</v>
          </cell>
          <cell r="D9" t="str">
            <v>LAC</v>
          </cell>
          <cell r="E9">
            <v>0</v>
          </cell>
          <cell r="F9" t="e">
            <v>#N/A</v>
          </cell>
          <cell r="G9">
            <v>13768</v>
          </cell>
          <cell r="H9">
            <v>13956</v>
          </cell>
          <cell r="I9">
            <v>14133</v>
          </cell>
          <cell r="J9">
            <v>14300</v>
          </cell>
          <cell r="K9">
            <v>14460</v>
          </cell>
          <cell r="L9">
            <v>14614</v>
          </cell>
          <cell r="M9">
            <v>14763</v>
          </cell>
          <cell r="N9">
            <v>14906</v>
          </cell>
          <cell r="O9">
            <v>15040</v>
          </cell>
          <cell r="P9">
            <v>15161</v>
          </cell>
          <cell r="Q9">
            <v>15266</v>
          </cell>
          <cell r="R9">
            <v>15353</v>
          </cell>
          <cell r="S9">
            <v>15425</v>
          </cell>
          <cell r="T9">
            <v>15484</v>
          </cell>
          <cell r="U9">
            <v>15535</v>
          </cell>
          <cell r="V9">
            <v>15582</v>
          </cell>
          <cell r="W9" t="str">
            <v>AIA</v>
          </cell>
          <cell r="X9"/>
          <cell r="Y9"/>
          <cell r="Z9"/>
          <cell r="AA9"/>
          <cell r="AB9"/>
          <cell r="AC9"/>
          <cell r="AD9"/>
        </row>
        <row r="10">
          <cell r="A10" t="str">
            <v>Antigua and Barbuda</v>
          </cell>
          <cell r="B10" t="str">
            <v>ATG</v>
          </cell>
          <cell r="C10" t="str">
            <v xml:space="preserve"> </v>
          </cell>
          <cell r="D10" t="str">
            <v>LAC</v>
          </cell>
          <cell r="E10" t="str">
            <v xml:space="preserve"> </v>
          </cell>
          <cell r="F10">
            <v>3</v>
          </cell>
          <cell r="G10">
            <v>87233</v>
          </cell>
          <cell r="H10">
            <v>88152</v>
          </cell>
          <cell r="I10">
            <v>89069</v>
          </cell>
          <cell r="J10">
            <v>89985</v>
          </cell>
          <cell r="K10">
            <v>90900</v>
          </cell>
          <cell r="L10">
            <v>91818</v>
          </cell>
          <cell r="M10">
            <v>92738</v>
          </cell>
          <cell r="N10">
            <v>93659</v>
          </cell>
          <cell r="O10">
            <v>94579</v>
          </cell>
          <cell r="P10">
            <v>95498</v>
          </cell>
          <cell r="Q10">
            <v>96413</v>
          </cell>
          <cell r="R10">
            <v>97324</v>
          </cell>
          <cell r="S10">
            <v>98227</v>
          </cell>
          <cell r="T10">
            <v>99122</v>
          </cell>
          <cell r="U10">
            <v>100005</v>
          </cell>
          <cell r="V10">
            <v>100872</v>
          </cell>
          <cell r="W10" t="str">
            <v>ATG</v>
          </cell>
          <cell r="X10"/>
          <cell r="Y10"/>
          <cell r="Z10"/>
          <cell r="AA10"/>
          <cell r="AB10"/>
          <cell r="AC10"/>
          <cell r="AD10"/>
        </row>
        <row r="11">
          <cell r="A11" t="str">
            <v>Argentina</v>
          </cell>
          <cell r="B11" t="str">
            <v>ARG</v>
          </cell>
          <cell r="C11" t="str">
            <v>ARG</v>
          </cell>
          <cell r="D11" t="str">
            <v>LAC</v>
          </cell>
          <cell r="E11" t="str">
            <v>Peso</v>
          </cell>
          <cell r="F11">
            <v>8</v>
          </cell>
          <cell r="G11">
            <v>41222875</v>
          </cell>
          <cell r="H11">
            <v>41655616</v>
          </cell>
          <cell r="I11">
            <v>42095224</v>
          </cell>
          <cell r="J11">
            <v>42538304</v>
          </cell>
          <cell r="K11">
            <v>42980026</v>
          </cell>
          <cell r="L11">
            <v>43416755</v>
          </cell>
          <cell r="M11">
            <v>43847277</v>
          </cell>
          <cell r="N11">
            <v>44272125</v>
          </cell>
          <cell r="O11">
            <v>44691517</v>
          </cell>
          <cell r="P11">
            <v>45106251</v>
          </cell>
          <cell r="Q11">
            <v>45516881</v>
          </cell>
          <cell r="R11">
            <v>45923103</v>
          </cell>
          <cell r="S11">
            <v>46324372</v>
          </cell>
          <cell r="T11">
            <v>46720793</v>
          </cell>
          <cell r="U11">
            <v>47112564</v>
          </cell>
          <cell r="V11">
            <v>47499807</v>
          </cell>
          <cell r="W11" t="str">
            <v>ARG</v>
          </cell>
          <cell r="X11"/>
          <cell r="Y11"/>
          <cell r="Z11"/>
          <cell r="AA11"/>
          <cell r="AB11"/>
          <cell r="AC11"/>
          <cell r="AD11"/>
        </row>
        <row r="12">
          <cell r="A12" t="str">
            <v>Armenia</v>
          </cell>
          <cell r="B12" t="str">
            <v>ARM</v>
          </cell>
          <cell r="C12" t="str">
            <v>ARM</v>
          </cell>
          <cell r="D12" t="str">
            <v>EEUR</v>
          </cell>
          <cell r="E12" t="str">
            <v>Dram</v>
          </cell>
          <cell r="F12">
            <v>416</v>
          </cell>
          <cell r="G12">
            <v>2963496</v>
          </cell>
          <cell r="H12">
            <v>2967984</v>
          </cell>
          <cell r="I12">
            <v>2978339</v>
          </cell>
          <cell r="J12">
            <v>2992192</v>
          </cell>
          <cell r="K12">
            <v>3006154</v>
          </cell>
          <cell r="L12">
            <v>3017712</v>
          </cell>
          <cell r="M12">
            <v>3026048</v>
          </cell>
          <cell r="N12">
            <v>3031670</v>
          </cell>
          <cell r="O12">
            <v>3034998</v>
          </cell>
          <cell r="P12">
            <v>3036924</v>
          </cell>
          <cell r="Q12">
            <v>3038097</v>
          </cell>
          <cell r="R12">
            <v>3038477</v>
          </cell>
          <cell r="S12">
            <v>3037709</v>
          </cell>
          <cell r="T12">
            <v>3035799</v>
          </cell>
          <cell r="U12">
            <v>3032738</v>
          </cell>
          <cell r="V12">
            <v>3028539</v>
          </cell>
          <cell r="W12" t="str">
            <v>ARM</v>
          </cell>
          <cell r="X12"/>
          <cell r="Y12"/>
          <cell r="Z12"/>
          <cell r="AA12"/>
          <cell r="AB12"/>
          <cell r="AC12"/>
          <cell r="AD12"/>
        </row>
        <row r="13">
          <cell r="A13" t="str">
            <v>Aruba</v>
          </cell>
          <cell r="B13" t="str">
            <v>ABW</v>
          </cell>
          <cell r="C13" t="str">
            <v xml:space="preserve"> </v>
          </cell>
          <cell r="E13" t="str">
            <v xml:space="preserve"> </v>
          </cell>
          <cell r="F13">
            <v>2</v>
          </cell>
          <cell r="G13">
            <v>101597</v>
          </cell>
          <cell r="H13">
            <v>101936</v>
          </cell>
          <cell r="I13">
            <v>102393</v>
          </cell>
          <cell r="J13">
            <v>102921</v>
          </cell>
          <cell r="K13">
            <v>103441</v>
          </cell>
          <cell r="L13">
            <v>103889</v>
          </cell>
          <cell r="M13">
            <v>104263</v>
          </cell>
          <cell r="N13">
            <v>104588</v>
          </cell>
          <cell r="O13">
            <v>104876</v>
          </cell>
          <cell r="P13">
            <v>105142</v>
          </cell>
          <cell r="Q13">
            <v>105397</v>
          </cell>
          <cell r="R13">
            <v>105643</v>
          </cell>
          <cell r="S13">
            <v>105876</v>
          </cell>
          <cell r="T13">
            <v>106093</v>
          </cell>
          <cell r="U13">
            <v>106297</v>
          </cell>
          <cell r="V13">
            <v>106483</v>
          </cell>
          <cell r="W13" t="str">
            <v>ABW</v>
          </cell>
          <cell r="X13"/>
          <cell r="Y13"/>
          <cell r="Z13"/>
          <cell r="AA13"/>
          <cell r="AB13"/>
          <cell r="AC13"/>
          <cell r="AD13"/>
        </row>
        <row r="14">
          <cell r="A14" t="str">
            <v>Australia</v>
          </cell>
          <cell r="B14" t="str">
            <v>AUS</v>
          </cell>
          <cell r="C14">
            <v>0</v>
          </cell>
          <cell r="D14" t="str">
            <v>EME</v>
          </cell>
          <cell r="E14">
            <v>0</v>
          </cell>
          <cell r="F14">
            <v>1</v>
          </cell>
          <cell r="G14">
            <v>22162863</v>
          </cell>
          <cell r="H14">
            <v>22542371</v>
          </cell>
          <cell r="I14">
            <v>22911375</v>
          </cell>
          <cell r="J14">
            <v>23270465</v>
          </cell>
          <cell r="K14">
            <v>23622353</v>
          </cell>
          <cell r="L14">
            <v>23968973</v>
          </cell>
          <cell r="M14">
            <v>24309330</v>
          </cell>
          <cell r="N14">
            <v>24641662</v>
          </cell>
          <cell r="O14">
            <v>24966531</v>
          </cell>
          <cell r="P14">
            <v>25284902</v>
          </cell>
          <cell r="Q14">
            <v>25597574</v>
          </cell>
          <cell r="R14">
            <v>25904618</v>
          </cell>
          <cell r="S14">
            <v>26206047</v>
          </cell>
          <cell r="T14">
            <v>26502580</v>
          </cell>
          <cell r="U14">
            <v>26795084</v>
          </cell>
          <cell r="V14">
            <v>27084213</v>
          </cell>
          <cell r="W14" t="str">
            <v>AUS</v>
          </cell>
          <cell r="X14"/>
          <cell r="Y14"/>
          <cell r="Z14"/>
          <cell r="AA14"/>
          <cell r="AB14"/>
          <cell r="AC14"/>
          <cell r="AD14"/>
        </row>
        <row r="15">
          <cell r="A15" t="str">
            <v>Austria</v>
          </cell>
          <cell r="B15" t="str">
            <v>AUT</v>
          </cell>
          <cell r="C15" t="str">
            <v>AUT</v>
          </cell>
          <cell r="D15" t="str">
            <v>EME</v>
          </cell>
          <cell r="E15">
            <v>0</v>
          </cell>
          <cell r="F15">
            <v>0</v>
          </cell>
          <cell r="G15">
            <v>8391986</v>
          </cell>
          <cell r="H15">
            <v>8423559</v>
          </cell>
          <cell r="I15">
            <v>8455477</v>
          </cell>
          <cell r="J15">
            <v>8486962</v>
          </cell>
          <cell r="K15">
            <v>8516916</v>
          </cell>
          <cell r="L15">
            <v>8544586</v>
          </cell>
          <cell r="M15">
            <v>8569633</v>
          </cell>
          <cell r="N15">
            <v>8592400</v>
          </cell>
          <cell r="O15">
            <v>8613647</v>
          </cell>
          <cell r="P15">
            <v>8634483</v>
          </cell>
          <cell r="Q15">
            <v>8655693</v>
          </cell>
          <cell r="R15">
            <v>8677491</v>
          </cell>
          <cell r="S15">
            <v>8699570</v>
          </cell>
          <cell r="T15">
            <v>8721551</v>
          </cell>
          <cell r="U15">
            <v>8742845</v>
          </cell>
          <cell r="V15">
            <v>8762992</v>
          </cell>
          <cell r="W15" t="str">
            <v>AUT</v>
          </cell>
          <cell r="X15"/>
          <cell r="Y15"/>
          <cell r="Z15"/>
          <cell r="AA15"/>
          <cell r="AB15"/>
          <cell r="AC15"/>
          <cell r="AD15"/>
        </row>
        <row r="16">
          <cell r="A16" t="str">
            <v>Azerbaijan</v>
          </cell>
          <cell r="B16" t="str">
            <v>AZE</v>
          </cell>
          <cell r="C16" t="str">
            <v>AZE</v>
          </cell>
          <cell r="D16" t="str">
            <v>EEUR</v>
          </cell>
          <cell r="E16" t="str">
            <v>Manat</v>
          </cell>
          <cell r="F16">
            <v>1</v>
          </cell>
          <cell r="G16">
            <v>9099893</v>
          </cell>
          <cell r="H16">
            <v>9227512</v>
          </cell>
          <cell r="I16">
            <v>9361477</v>
          </cell>
          <cell r="J16">
            <v>9497496</v>
          </cell>
          <cell r="K16">
            <v>9629779</v>
          </cell>
          <cell r="L16">
            <v>9753968</v>
          </cell>
          <cell r="M16">
            <v>9868447</v>
          </cell>
          <cell r="N16">
            <v>9973697</v>
          </cell>
          <cell r="O16">
            <v>10070075</v>
          </cell>
          <cell r="P16">
            <v>10158734</v>
          </cell>
          <cell r="Q16">
            <v>10240569</v>
          </cell>
          <cell r="R16">
            <v>10315468</v>
          </cell>
          <cell r="S16">
            <v>10383059</v>
          </cell>
          <cell r="T16">
            <v>10443817</v>
          </cell>
          <cell r="U16">
            <v>10498378</v>
          </cell>
          <cell r="V16">
            <v>10547369</v>
          </cell>
          <cell r="W16" t="str">
            <v>AZE</v>
          </cell>
          <cell r="X16"/>
          <cell r="Y16"/>
          <cell r="Z16"/>
          <cell r="AA16"/>
          <cell r="AB16"/>
          <cell r="AC16"/>
          <cell r="AD16"/>
        </row>
        <row r="17">
          <cell r="A17" t="str">
            <v>Bahamas</v>
          </cell>
          <cell r="B17" t="str">
            <v>BHS</v>
          </cell>
          <cell r="C17" t="str">
            <v>BAH</v>
          </cell>
          <cell r="D17" t="str">
            <v>LAC</v>
          </cell>
          <cell r="E17">
            <v>0</v>
          </cell>
          <cell r="F17">
            <v>1</v>
          </cell>
          <cell r="G17">
            <v>360830</v>
          </cell>
          <cell r="H17">
            <v>366711</v>
          </cell>
          <cell r="I17">
            <v>372388</v>
          </cell>
          <cell r="J17">
            <v>377841</v>
          </cell>
          <cell r="K17">
            <v>383054</v>
          </cell>
          <cell r="L17">
            <v>388019</v>
          </cell>
          <cell r="M17">
            <v>392718</v>
          </cell>
          <cell r="N17">
            <v>397164</v>
          </cell>
          <cell r="O17">
            <v>401412</v>
          </cell>
          <cell r="P17">
            <v>405548</v>
          </cell>
          <cell r="Q17">
            <v>409629</v>
          </cell>
          <cell r="R17">
            <v>413678</v>
          </cell>
          <cell r="S17">
            <v>417682</v>
          </cell>
          <cell r="T17">
            <v>421621</v>
          </cell>
          <cell r="U17">
            <v>425461</v>
          </cell>
          <cell r="V17">
            <v>429178</v>
          </cell>
          <cell r="W17" t="str">
            <v>BHS</v>
          </cell>
          <cell r="X17"/>
          <cell r="Y17"/>
          <cell r="Z17"/>
          <cell r="AA17"/>
          <cell r="AB17"/>
          <cell r="AC17"/>
          <cell r="AD17"/>
        </row>
        <row r="18">
          <cell r="A18" t="str">
            <v>Bahrain</v>
          </cell>
          <cell r="B18" t="str">
            <v>BHR</v>
          </cell>
          <cell r="C18" t="str">
            <v>BAA</v>
          </cell>
          <cell r="D18" t="str">
            <v>EMR</v>
          </cell>
          <cell r="E18">
            <v>0</v>
          </cell>
          <cell r="F18">
            <v>0</v>
          </cell>
          <cell r="G18">
            <v>1261319</v>
          </cell>
          <cell r="H18">
            <v>1306014</v>
          </cell>
          <cell r="I18">
            <v>1333577</v>
          </cell>
          <cell r="J18">
            <v>1349427</v>
          </cell>
          <cell r="K18">
            <v>1361930</v>
          </cell>
          <cell r="L18">
            <v>1377237</v>
          </cell>
          <cell r="M18">
            <v>1396829</v>
          </cell>
          <cell r="N18">
            <v>1418895</v>
          </cell>
          <cell r="O18">
            <v>1442394</v>
          </cell>
          <cell r="P18">
            <v>1465285</v>
          </cell>
          <cell r="Q18">
            <v>1486111</v>
          </cell>
          <cell r="R18">
            <v>1504924</v>
          </cell>
          <cell r="S18">
            <v>1522557</v>
          </cell>
          <cell r="T18">
            <v>1539195</v>
          </cell>
          <cell r="U18">
            <v>1555132</v>
          </cell>
          <cell r="V18">
            <v>1570590</v>
          </cell>
          <cell r="W18" t="str">
            <v>BHR</v>
          </cell>
          <cell r="X18"/>
          <cell r="Y18"/>
          <cell r="Z18"/>
          <cell r="AA18"/>
          <cell r="AB18"/>
          <cell r="AC18"/>
          <cell r="AD18"/>
        </row>
        <row r="19">
          <cell r="A19" t="str">
            <v>Bangladesh</v>
          </cell>
          <cell r="B19" t="str">
            <v>BGD</v>
          </cell>
          <cell r="C19" t="str">
            <v>BAN</v>
          </cell>
          <cell r="D19" t="str">
            <v>SEAR</v>
          </cell>
          <cell r="E19" t="str">
            <v>Taka</v>
          </cell>
          <cell r="F19">
            <v>78</v>
          </cell>
          <cell r="G19">
            <v>151616777</v>
          </cell>
          <cell r="H19">
            <v>153405612</v>
          </cell>
          <cell r="I19">
            <v>155257387</v>
          </cell>
          <cell r="J19">
            <v>157157394</v>
          </cell>
          <cell r="K19">
            <v>159077513</v>
          </cell>
          <cell r="L19">
            <v>160995642</v>
          </cell>
          <cell r="M19">
            <v>162910864</v>
          </cell>
          <cell r="N19">
            <v>164827718</v>
          </cell>
          <cell r="O19">
            <v>166734722</v>
          </cell>
          <cell r="P19">
            <v>168618092</v>
          </cell>
          <cell r="Q19">
            <v>170466782</v>
          </cell>
          <cell r="R19">
            <v>172274441</v>
          </cell>
          <cell r="S19">
            <v>174038853</v>
          </cell>
          <cell r="T19">
            <v>175758415</v>
          </cell>
          <cell r="U19">
            <v>177433357</v>
          </cell>
          <cell r="V19">
            <v>179063375</v>
          </cell>
          <cell r="W19" t="str">
            <v>BGD</v>
          </cell>
          <cell r="X19"/>
          <cell r="Y19"/>
          <cell r="Z19"/>
          <cell r="AA19"/>
          <cell r="AB19"/>
          <cell r="AC19"/>
          <cell r="AD19"/>
        </row>
        <row r="20">
          <cell r="A20" t="str">
            <v>Barbados</v>
          </cell>
          <cell r="B20" t="str">
            <v>BRB</v>
          </cell>
          <cell r="C20" t="str">
            <v>BAR</v>
          </cell>
          <cell r="D20" t="str">
            <v>LAC</v>
          </cell>
          <cell r="E20">
            <v>0</v>
          </cell>
          <cell r="F20">
            <v>2</v>
          </cell>
          <cell r="G20">
            <v>279566</v>
          </cell>
          <cell r="H20">
            <v>280602</v>
          </cell>
          <cell r="I20">
            <v>281580</v>
          </cell>
          <cell r="J20">
            <v>282503</v>
          </cell>
          <cell r="K20">
            <v>283380</v>
          </cell>
          <cell r="L20">
            <v>284215</v>
          </cell>
          <cell r="M20">
            <v>285006</v>
          </cell>
          <cell r="N20">
            <v>285744</v>
          </cell>
          <cell r="O20">
            <v>286432</v>
          </cell>
          <cell r="P20">
            <v>287066</v>
          </cell>
          <cell r="Q20">
            <v>287647</v>
          </cell>
          <cell r="R20">
            <v>288174</v>
          </cell>
          <cell r="S20">
            <v>288645</v>
          </cell>
          <cell r="T20">
            <v>289060</v>
          </cell>
          <cell r="U20">
            <v>289419</v>
          </cell>
          <cell r="V20">
            <v>289722</v>
          </cell>
          <cell r="W20" t="str">
            <v>BRB</v>
          </cell>
          <cell r="X20"/>
          <cell r="Y20"/>
          <cell r="Z20"/>
          <cell r="AA20"/>
          <cell r="AB20"/>
          <cell r="AC20"/>
          <cell r="AD20"/>
        </row>
        <row r="21">
          <cell r="A21" t="str">
            <v>Belarus</v>
          </cell>
          <cell r="B21" t="str">
            <v>BLR</v>
          </cell>
          <cell r="C21" t="str">
            <v>BLR</v>
          </cell>
          <cell r="D21" t="str">
            <v>EEUR</v>
          </cell>
          <cell r="E21">
            <v>0</v>
          </cell>
          <cell r="F21">
            <v>10224</v>
          </cell>
          <cell r="G21">
            <v>9492122</v>
          </cell>
          <cell r="H21">
            <v>9487674</v>
          </cell>
          <cell r="I21">
            <v>9490962</v>
          </cell>
          <cell r="J21">
            <v>9497294</v>
          </cell>
          <cell r="K21">
            <v>9500422</v>
          </cell>
          <cell r="L21">
            <v>9495826</v>
          </cell>
          <cell r="M21">
            <v>9481521</v>
          </cell>
          <cell r="N21">
            <v>9458535</v>
          </cell>
          <cell r="O21">
            <v>9429102</v>
          </cell>
          <cell r="P21">
            <v>9396892</v>
          </cell>
          <cell r="Q21">
            <v>9364588</v>
          </cell>
          <cell r="R21">
            <v>9332694</v>
          </cell>
          <cell r="S21">
            <v>9300259</v>
          </cell>
          <cell r="T21">
            <v>9266825</v>
          </cell>
          <cell r="U21">
            <v>9231553</v>
          </cell>
          <cell r="V21">
            <v>9193871</v>
          </cell>
          <cell r="W21" t="str">
            <v>BLR</v>
          </cell>
          <cell r="X21"/>
          <cell r="Y21"/>
          <cell r="Z21"/>
          <cell r="AA21"/>
          <cell r="AB21"/>
          <cell r="AC21"/>
          <cell r="AD21"/>
        </row>
        <row r="22">
          <cell r="A22" t="str">
            <v>Belgium</v>
          </cell>
          <cell r="B22" t="str">
            <v>BEL</v>
          </cell>
          <cell r="C22" t="str">
            <v>BEL</v>
          </cell>
          <cell r="D22" t="str">
            <v>EME</v>
          </cell>
          <cell r="E22">
            <v>0</v>
          </cell>
          <cell r="F22">
            <v>0</v>
          </cell>
          <cell r="G22">
            <v>10929978</v>
          </cell>
          <cell r="H22">
            <v>11005175</v>
          </cell>
          <cell r="I22">
            <v>11079521</v>
          </cell>
          <cell r="J22">
            <v>11153122</v>
          </cell>
          <cell r="K22">
            <v>11226322</v>
          </cell>
          <cell r="L22">
            <v>11299192</v>
          </cell>
          <cell r="M22">
            <v>11371928</v>
          </cell>
          <cell r="N22">
            <v>11443830</v>
          </cell>
          <cell r="O22">
            <v>11513025</v>
          </cell>
          <cell r="P22">
            <v>11577071</v>
          </cell>
          <cell r="Q22">
            <v>11634331</v>
          </cell>
          <cell r="R22">
            <v>11683972</v>
          </cell>
          <cell r="S22">
            <v>11726766</v>
          </cell>
          <cell r="T22">
            <v>11764687</v>
          </cell>
          <cell r="U22">
            <v>11800602</v>
          </cell>
          <cell r="V22">
            <v>11836636</v>
          </cell>
          <cell r="W22" t="str">
            <v>BEL</v>
          </cell>
          <cell r="X22"/>
          <cell r="Y22"/>
          <cell r="Z22"/>
          <cell r="AA22"/>
          <cell r="AB22"/>
          <cell r="AC22"/>
          <cell r="AD22"/>
        </row>
        <row r="23">
          <cell r="A23" t="str">
            <v>Belize</v>
          </cell>
          <cell r="B23" t="str">
            <v>BLZ</v>
          </cell>
          <cell r="C23" t="str">
            <v>BLZ</v>
          </cell>
          <cell r="D23" t="str">
            <v>LAC</v>
          </cell>
          <cell r="E23" t="str">
            <v>Belize Dollar</v>
          </cell>
          <cell r="F23">
            <v>2</v>
          </cell>
          <cell r="G23">
            <v>321609</v>
          </cell>
          <cell r="H23">
            <v>329193</v>
          </cell>
          <cell r="I23">
            <v>336707</v>
          </cell>
          <cell r="J23">
            <v>344193</v>
          </cell>
          <cell r="K23">
            <v>351706</v>
          </cell>
          <cell r="L23">
            <v>359287</v>
          </cell>
          <cell r="M23">
            <v>366942</v>
          </cell>
          <cell r="N23">
            <v>374651</v>
          </cell>
          <cell r="O23">
            <v>382395</v>
          </cell>
          <cell r="P23">
            <v>390145</v>
          </cell>
          <cell r="Q23">
            <v>397880</v>
          </cell>
          <cell r="R23">
            <v>405591</v>
          </cell>
          <cell r="S23">
            <v>413274</v>
          </cell>
          <cell r="T23">
            <v>420909</v>
          </cell>
          <cell r="U23">
            <v>428473</v>
          </cell>
          <cell r="V23">
            <v>435949</v>
          </cell>
          <cell r="W23" t="str">
            <v>BLZ</v>
          </cell>
          <cell r="X23"/>
          <cell r="Y23"/>
          <cell r="Z23"/>
          <cell r="AA23"/>
          <cell r="AB23"/>
          <cell r="AC23"/>
          <cell r="AD23"/>
        </row>
        <row r="24">
          <cell r="A24" t="str">
            <v>Benin</v>
          </cell>
          <cell r="B24" t="str">
            <v>BEN</v>
          </cell>
          <cell r="C24" t="str">
            <v>BEN</v>
          </cell>
          <cell r="D24" t="str">
            <v>AFRlow</v>
          </cell>
          <cell r="E24" t="str">
            <v>Franc</v>
          </cell>
          <cell r="F24">
            <v>494</v>
          </cell>
          <cell r="G24">
            <v>9509798</v>
          </cell>
          <cell r="H24">
            <v>9779391</v>
          </cell>
          <cell r="I24">
            <v>10049792</v>
          </cell>
          <cell r="J24">
            <v>10322232</v>
          </cell>
          <cell r="K24">
            <v>10598482</v>
          </cell>
          <cell r="L24">
            <v>10879829</v>
          </cell>
          <cell r="M24">
            <v>11166658</v>
          </cell>
          <cell r="N24">
            <v>11458611</v>
          </cell>
          <cell r="O24">
            <v>11755337</v>
          </cell>
          <cell r="P24">
            <v>12056204</v>
          </cell>
          <cell r="Q24">
            <v>12360726</v>
          </cell>
          <cell r="R24">
            <v>12668810</v>
          </cell>
          <cell r="S24">
            <v>12980554</v>
          </cell>
          <cell r="T24">
            <v>13295869</v>
          </cell>
          <cell r="U24">
            <v>13614682</v>
          </cell>
          <cell r="V24">
            <v>13936891</v>
          </cell>
          <cell r="W24" t="str">
            <v>BEN</v>
          </cell>
          <cell r="X24"/>
          <cell r="Y24"/>
          <cell r="Z24"/>
          <cell r="AA24"/>
          <cell r="AB24"/>
          <cell r="AC24"/>
          <cell r="AD24"/>
        </row>
        <row r="25">
          <cell r="A25" t="str">
            <v>Bermuda</v>
          </cell>
          <cell r="B25" t="str">
            <v>BMU</v>
          </cell>
          <cell r="C25" t="str">
            <v>BER</v>
          </cell>
          <cell r="D25" t="str">
            <v>LAC</v>
          </cell>
          <cell r="E25">
            <v>0</v>
          </cell>
          <cell r="F25">
            <v>1</v>
          </cell>
          <cell r="G25">
            <v>63954</v>
          </cell>
          <cell r="H25">
            <v>63578</v>
          </cell>
          <cell r="I25">
            <v>63179</v>
          </cell>
          <cell r="J25">
            <v>62773</v>
          </cell>
          <cell r="K25">
            <v>62376</v>
          </cell>
          <cell r="L25">
            <v>62004</v>
          </cell>
          <cell r="M25">
            <v>61662</v>
          </cell>
          <cell r="N25">
            <v>61352</v>
          </cell>
          <cell r="O25">
            <v>61078</v>
          </cell>
          <cell r="P25">
            <v>60843</v>
          </cell>
          <cell r="Q25">
            <v>60644</v>
          </cell>
          <cell r="R25">
            <v>60485</v>
          </cell>
          <cell r="S25">
            <v>60365</v>
          </cell>
          <cell r="T25">
            <v>60267</v>
          </cell>
          <cell r="U25">
            <v>60174</v>
          </cell>
          <cell r="V25">
            <v>60069</v>
          </cell>
          <cell r="W25" t="str">
            <v>BMU</v>
          </cell>
          <cell r="X25"/>
          <cell r="Y25"/>
          <cell r="Z25"/>
          <cell r="AA25"/>
          <cell r="AB25"/>
          <cell r="AC25"/>
          <cell r="AD25"/>
        </row>
        <row r="26">
          <cell r="A26" t="str">
            <v>Bhutan</v>
          </cell>
          <cell r="B26" t="str">
            <v>BTN</v>
          </cell>
          <cell r="C26" t="str">
            <v>BHU</v>
          </cell>
          <cell r="D26" t="str">
            <v>SEAR</v>
          </cell>
          <cell r="E26" t="str">
            <v>Ngultrum</v>
          </cell>
          <cell r="F26">
            <v>61</v>
          </cell>
          <cell r="G26">
            <v>720246</v>
          </cell>
          <cell r="H26">
            <v>732246</v>
          </cell>
          <cell r="I26">
            <v>743711</v>
          </cell>
          <cell r="J26">
            <v>754637</v>
          </cell>
          <cell r="K26">
            <v>765008</v>
          </cell>
          <cell r="L26">
            <v>774830</v>
          </cell>
          <cell r="M26">
            <v>784103</v>
          </cell>
          <cell r="N26">
            <v>792877</v>
          </cell>
          <cell r="O26">
            <v>801257</v>
          </cell>
          <cell r="P26">
            <v>809378</v>
          </cell>
          <cell r="Q26">
            <v>817339</v>
          </cell>
          <cell r="R26">
            <v>825189</v>
          </cell>
          <cell r="S26">
            <v>832913</v>
          </cell>
          <cell r="T26">
            <v>840474</v>
          </cell>
          <cell r="U26">
            <v>847800</v>
          </cell>
          <cell r="V26">
            <v>854841</v>
          </cell>
          <cell r="W26" t="str">
            <v>BTN</v>
          </cell>
          <cell r="X26"/>
          <cell r="Y26"/>
          <cell r="Z26"/>
          <cell r="AA26"/>
          <cell r="AB26"/>
          <cell r="AC26"/>
          <cell r="AD26"/>
        </row>
        <row r="27">
          <cell r="A27" t="str">
            <v>Bolivia (Plurinational State of)</v>
          </cell>
          <cell r="B27" t="str">
            <v>BOL</v>
          </cell>
          <cell r="C27" t="str">
            <v xml:space="preserve"> </v>
          </cell>
          <cell r="D27" t="str">
            <v>LAC</v>
          </cell>
          <cell r="E27" t="str">
            <v xml:space="preserve"> </v>
          </cell>
          <cell r="F27">
            <v>7</v>
          </cell>
          <cell r="G27">
            <v>9918245</v>
          </cell>
          <cell r="H27">
            <v>10078238</v>
          </cell>
          <cell r="I27">
            <v>10238762</v>
          </cell>
          <cell r="J27">
            <v>10399931</v>
          </cell>
          <cell r="K27">
            <v>10561887</v>
          </cell>
          <cell r="L27">
            <v>10724705</v>
          </cell>
          <cell r="M27">
            <v>10888402</v>
          </cell>
          <cell r="N27">
            <v>11052864</v>
          </cell>
          <cell r="O27">
            <v>11217865</v>
          </cell>
          <cell r="P27">
            <v>11383094</v>
          </cell>
          <cell r="Q27">
            <v>11548297</v>
          </cell>
          <cell r="R27">
            <v>11713340</v>
          </cell>
          <cell r="S27">
            <v>11878165</v>
          </cell>
          <cell r="T27">
            <v>12042670</v>
          </cell>
          <cell r="U27">
            <v>12206774</v>
          </cell>
          <cell r="V27">
            <v>12370382</v>
          </cell>
          <cell r="W27" t="str">
            <v>BOL</v>
          </cell>
          <cell r="X27"/>
          <cell r="Y27"/>
          <cell r="Z27"/>
          <cell r="AA27"/>
          <cell r="AB27"/>
          <cell r="AC27"/>
          <cell r="AD27"/>
        </row>
        <row r="28">
          <cell r="A28" t="str">
            <v>Bonaire, Saint Eustatius and Saba</v>
          </cell>
          <cell r="B28" t="str">
            <v>BES</v>
          </cell>
          <cell r="C28" t="str">
            <v xml:space="preserve"> </v>
          </cell>
          <cell r="E28" t="str">
            <v xml:space="preserve"> </v>
          </cell>
          <cell r="F28" t="e">
            <v>#N/A</v>
          </cell>
          <cell r="G28">
            <v>20942</v>
          </cell>
          <cell r="H28">
            <v>22040</v>
          </cell>
          <cell r="I28">
            <v>22947</v>
          </cell>
          <cell r="J28">
            <v>23688</v>
          </cell>
          <cell r="K28">
            <v>24313</v>
          </cell>
          <cell r="L28">
            <v>24861</v>
          </cell>
          <cell r="M28">
            <v>25328</v>
          </cell>
          <cell r="N28">
            <v>25699</v>
          </cell>
          <cell r="O28">
            <v>25997</v>
          </cell>
          <cell r="P28">
            <v>26249</v>
          </cell>
          <cell r="Q28">
            <v>26477</v>
          </cell>
          <cell r="R28">
            <v>26691</v>
          </cell>
          <cell r="S28">
            <v>26893</v>
          </cell>
          <cell r="T28">
            <v>27084</v>
          </cell>
          <cell r="U28">
            <v>27266</v>
          </cell>
          <cell r="V28">
            <v>27439</v>
          </cell>
          <cell r="W28" t="str">
            <v>BES</v>
          </cell>
          <cell r="X28"/>
          <cell r="Y28"/>
          <cell r="Z28"/>
          <cell r="AA28"/>
          <cell r="AB28"/>
          <cell r="AC28"/>
          <cell r="AD28"/>
        </row>
        <row r="29">
          <cell r="A29" t="str">
            <v>Bosnia and Herzegovina</v>
          </cell>
          <cell r="B29" t="str">
            <v>BIH</v>
          </cell>
          <cell r="C29" t="str">
            <v xml:space="preserve"> </v>
          </cell>
          <cell r="D29" t="str">
            <v>CEUR</v>
          </cell>
          <cell r="E29" t="str">
            <v xml:space="preserve"> </v>
          </cell>
          <cell r="F29">
            <v>1</v>
          </cell>
          <cell r="G29">
            <v>3835258</v>
          </cell>
          <cell r="H29">
            <v>3832310</v>
          </cell>
          <cell r="I29">
            <v>3828419</v>
          </cell>
          <cell r="J29">
            <v>3823533</v>
          </cell>
          <cell r="K29">
            <v>3817554</v>
          </cell>
          <cell r="L29">
            <v>3810416</v>
          </cell>
          <cell r="M29">
            <v>3802134</v>
          </cell>
          <cell r="N29">
            <v>3792759</v>
          </cell>
          <cell r="O29">
            <v>3782297</v>
          </cell>
          <cell r="P29">
            <v>3770753</v>
          </cell>
          <cell r="Q29">
            <v>3758147</v>
          </cell>
          <cell r="R29">
            <v>3744482</v>
          </cell>
          <cell r="S29">
            <v>3729792</v>
          </cell>
          <cell r="T29">
            <v>3714164</v>
          </cell>
          <cell r="U29">
            <v>3697710</v>
          </cell>
          <cell r="V29">
            <v>3680513</v>
          </cell>
          <cell r="W29" t="str">
            <v>BIH</v>
          </cell>
          <cell r="X29"/>
          <cell r="Y29"/>
          <cell r="Z29"/>
          <cell r="AA29"/>
          <cell r="AB29"/>
          <cell r="AC29"/>
          <cell r="AD29"/>
        </row>
        <row r="30">
          <cell r="A30" t="str">
            <v>Botswana</v>
          </cell>
          <cell r="B30" t="str">
            <v>BWA</v>
          </cell>
          <cell r="C30" t="str">
            <v>BOT</v>
          </cell>
          <cell r="D30" t="str">
            <v>AFRhigh</v>
          </cell>
          <cell r="E30" t="str">
            <v>Pula</v>
          </cell>
          <cell r="F30">
            <v>9</v>
          </cell>
          <cell r="G30">
            <v>2047831</v>
          </cell>
          <cell r="H30">
            <v>2089706</v>
          </cell>
          <cell r="I30">
            <v>2132822</v>
          </cell>
          <cell r="J30">
            <v>2176510</v>
          </cell>
          <cell r="K30">
            <v>2219937</v>
          </cell>
          <cell r="L30">
            <v>2262485</v>
          </cell>
          <cell r="M30">
            <v>2303820</v>
          </cell>
          <cell r="N30">
            <v>2343981</v>
          </cell>
          <cell r="O30">
            <v>2383184</v>
          </cell>
          <cell r="P30">
            <v>2421835</v>
          </cell>
          <cell r="Q30">
            <v>2460223</v>
          </cell>
          <cell r="R30">
            <v>2498365</v>
          </cell>
          <cell r="S30">
            <v>2536105</v>
          </cell>
          <cell r="T30">
            <v>2573371</v>
          </cell>
          <cell r="U30">
            <v>2610050</v>
          </cell>
          <cell r="V30">
            <v>2646067</v>
          </cell>
          <cell r="W30" t="str">
            <v>BWA</v>
          </cell>
          <cell r="X30"/>
          <cell r="Y30"/>
          <cell r="Z30"/>
          <cell r="AA30"/>
          <cell r="AB30"/>
          <cell r="AC30"/>
          <cell r="AD30"/>
        </row>
        <row r="31">
          <cell r="A31" t="str">
            <v>Brazil</v>
          </cell>
          <cell r="B31" t="str">
            <v>BRA</v>
          </cell>
          <cell r="C31" t="str">
            <v>BRA</v>
          </cell>
          <cell r="D31" t="str">
            <v>LAC</v>
          </cell>
          <cell r="E31" t="str">
            <v>Reai</v>
          </cell>
          <cell r="F31">
            <v>2</v>
          </cell>
          <cell r="G31">
            <v>198614208</v>
          </cell>
          <cell r="H31">
            <v>200517584</v>
          </cell>
          <cell r="I31">
            <v>202401584</v>
          </cell>
          <cell r="J31">
            <v>204259377</v>
          </cell>
          <cell r="K31">
            <v>206077898</v>
          </cell>
          <cell r="L31">
            <v>207847528</v>
          </cell>
          <cell r="M31">
            <v>209567920</v>
          </cell>
          <cell r="N31">
            <v>211243220</v>
          </cell>
          <cell r="O31">
            <v>212873151</v>
          </cell>
          <cell r="P31">
            <v>214457810</v>
          </cell>
          <cell r="Q31">
            <v>215997014</v>
          </cell>
          <cell r="R31">
            <v>217490168</v>
          </cell>
          <cell r="S31">
            <v>218936116</v>
          </cell>
          <cell r="T31">
            <v>220333482</v>
          </cell>
          <cell r="U31">
            <v>221680651</v>
          </cell>
          <cell r="V31">
            <v>222976301</v>
          </cell>
          <cell r="W31" t="str">
            <v>BRA</v>
          </cell>
          <cell r="X31"/>
          <cell r="Y31"/>
          <cell r="Z31"/>
          <cell r="AA31"/>
          <cell r="AB31"/>
          <cell r="AC31"/>
          <cell r="AD31"/>
        </row>
        <row r="32">
          <cell r="A32" t="str">
            <v>British Virgin Islands</v>
          </cell>
          <cell r="B32" t="str">
            <v>VGB</v>
          </cell>
          <cell r="C32" t="str">
            <v>VIB</v>
          </cell>
          <cell r="D32" t="str">
            <v>LAC</v>
          </cell>
          <cell r="E32">
            <v>0</v>
          </cell>
          <cell r="F32" t="e">
            <v>#N/A</v>
          </cell>
          <cell r="G32">
            <v>27223</v>
          </cell>
          <cell r="H32">
            <v>27906</v>
          </cell>
          <cell r="I32">
            <v>28511</v>
          </cell>
          <cell r="J32">
            <v>29058</v>
          </cell>
          <cell r="K32">
            <v>29585</v>
          </cell>
          <cell r="L32">
            <v>30117</v>
          </cell>
          <cell r="M32">
            <v>30659</v>
          </cell>
          <cell r="N32">
            <v>31200</v>
          </cell>
          <cell r="O32">
            <v>31726</v>
          </cell>
          <cell r="P32">
            <v>32211</v>
          </cell>
          <cell r="Q32">
            <v>32643</v>
          </cell>
          <cell r="R32">
            <v>33015</v>
          </cell>
          <cell r="S32">
            <v>33337</v>
          </cell>
          <cell r="T32">
            <v>33620</v>
          </cell>
          <cell r="U32">
            <v>33883</v>
          </cell>
          <cell r="V32">
            <v>34140</v>
          </cell>
          <cell r="W32" t="str">
            <v>VGB</v>
          </cell>
          <cell r="X32"/>
          <cell r="Y32"/>
          <cell r="Z32"/>
          <cell r="AA32"/>
          <cell r="AB32"/>
          <cell r="AC32"/>
          <cell r="AD32"/>
        </row>
        <row r="33">
          <cell r="A33" t="str">
            <v>Brunei Darussalam</v>
          </cell>
          <cell r="B33" t="str">
            <v>BRN</v>
          </cell>
          <cell r="C33" t="str">
            <v>BRU</v>
          </cell>
          <cell r="D33" t="str">
            <v>WPR</v>
          </cell>
          <cell r="E33">
            <v>0</v>
          </cell>
          <cell r="F33">
            <v>1</v>
          </cell>
          <cell r="G33">
            <v>393302</v>
          </cell>
          <cell r="H33">
            <v>399443</v>
          </cell>
          <cell r="I33">
            <v>405512</v>
          </cell>
          <cell r="J33">
            <v>411499</v>
          </cell>
          <cell r="K33">
            <v>417394</v>
          </cell>
          <cell r="L33">
            <v>423188</v>
          </cell>
          <cell r="M33">
            <v>428874</v>
          </cell>
          <cell r="N33">
            <v>434448</v>
          </cell>
          <cell r="O33">
            <v>439908</v>
          </cell>
          <cell r="P33">
            <v>445250</v>
          </cell>
          <cell r="Q33">
            <v>450478</v>
          </cell>
          <cell r="R33">
            <v>455585</v>
          </cell>
          <cell r="S33">
            <v>460570</v>
          </cell>
          <cell r="T33">
            <v>465429</v>
          </cell>
          <cell r="U33">
            <v>470164</v>
          </cell>
          <cell r="V33">
            <v>474772</v>
          </cell>
          <cell r="W33" t="str">
            <v>BRN</v>
          </cell>
          <cell r="X33"/>
          <cell r="Y33"/>
          <cell r="Z33"/>
          <cell r="AA33"/>
          <cell r="AB33"/>
          <cell r="AC33"/>
          <cell r="AD33"/>
        </row>
        <row r="34">
          <cell r="A34" t="str">
            <v>Bulgaria</v>
          </cell>
          <cell r="B34" t="str">
            <v>BGR</v>
          </cell>
          <cell r="C34" t="str">
            <v>BUL</v>
          </cell>
          <cell r="D34" t="str">
            <v>EEUR</v>
          </cell>
          <cell r="E34">
            <v>0</v>
          </cell>
          <cell r="F34">
            <v>1</v>
          </cell>
          <cell r="G34">
            <v>7407297</v>
          </cell>
          <cell r="H34">
            <v>7355231</v>
          </cell>
          <cell r="I34">
            <v>7303741</v>
          </cell>
          <cell r="J34">
            <v>7252539</v>
          </cell>
          <cell r="K34">
            <v>7201308</v>
          </cell>
          <cell r="L34">
            <v>7149787</v>
          </cell>
          <cell r="M34">
            <v>7097796</v>
          </cell>
          <cell r="N34">
            <v>7045259</v>
          </cell>
          <cell r="O34">
            <v>6992150</v>
          </cell>
          <cell r="P34">
            <v>6938509</v>
          </cell>
          <cell r="Q34">
            <v>6884344</v>
          </cell>
          <cell r="R34">
            <v>6829636</v>
          </cell>
          <cell r="S34">
            <v>6774300</v>
          </cell>
          <cell r="T34">
            <v>6718208</v>
          </cell>
          <cell r="U34">
            <v>6661207</v>
          </cell>
          <cell r="V34">
            <v>6603205</v>
          </cell>
          <cell r="W34" t="str">
            <v>BGR</v>
          </cell>
          <cell r="X34"/>
          <cell r="Y34"/>
          <cell r="Z34"/>
          <cell r="AA34"/>
          <cell r="AB34"/>
          <cell r="AC34"/>
          <cell r="AD34"/>
        </row>
        <row r="35">
          <cell r="A35" t="str">
            <v>Burkina Faso</v>
          </cell>
          <cell r="B35" t="str">
            <v>BFA</v>
          </cell>
          <cell r="C35" t="str">
            <v>BFA</v>
          </cell>
          <cell r="D35" t="str">
            <v>AFRlow</v>
          </cell>
          <cell r="E35" t="str">
            <v>Franc</v>
          </cell>
          <cell r="F35">
            <v>494</v>
          </cell>
          <cell r="G35">
            <v>15632066</v>
          </cell>
          <cell r="H35">
            <v>16106851</v>
          </cell>
          <cell r="I35">
            <v>16590813</v>
          </cell>
          <cell r="J35">
            <v>17084554</v>
          </cell>
          <cell r="K35">
            <v>17589198</v>
          </cell>
          <cell r="L35">
            <v>18105570</v>
          </cell>
          <cell r="M35">
            <v>18633725</v>
          </cell>
          <cell r="N35">
            <v>19173322</v>
          </cell>
          <cell r="O35">
            <v>19724353</v>
          </cell>
          <cell r="P35">
            <v>20286765</v>
          </cell>
          <cell r="Q35">
            <v>20860541</v>
          </cell>
          <cell r="R35">
            <v>21445642</v>
          </cell>
          <cell r="S35">
            <v>22042162</v>
          </cell>
          <cell r="T35">
            <v>22650367</v>
          </cell>
          <cell r="U35">
            <v>23270600</v>
          </cell>
          <cell r="V35">
            <v>23903075</v>
          </cell>
          <cell r="W35" t="str">
            <v>BFA</v>
          </cell>
          <cell r="X35"/>
          <cell r="Y35"/>
          <cell r="Z35"/>
          <cell r="AA35"/>
          <cell r="AB35"/>
          <cell r="AC35"/>
          <cell r="AD35"/>
        </row>
        <row r="36">
          <cell r="A36" t="str">
            <v>Burundi</v>
          </cell>
          <cell r="B36" t="str">
            <v>BDI</v>
          </cell>
          <cell r="C36" t="str">
            <v>BUU</v>
          </cell>
          <cell r="D36" t="str">
            <v>AFRhigh</v>
          </cell>
          <cell r="E36" t="str">
            <v>Franc</v>
          </cell>
          <cell r="F36">
            <v>1547</v>
          </cell>
          <cell r="G36">
            <v>9461117</v>
          </cell>
          <cell r="H36">
            <v>9790151</v>
          </cell>
          <cell r="I36">
            <v>10124572</v>
          </cell>
          <cell r="J36">
            <v>10465959</v>
          </cell>
          <cell r="K36">
            <v>10816860</v>
          </cell>
          <cell r="L36">
            <v>11178921</v>
          </cell>
          <cell r="M36">
            <v>11552561</v>
          </cell>
          <cell r="N36">
            <v>11936481</v>
          </cell>
          <cell r="O36">
            <v>12328560</v>
          </cell>
          <cell r="P36">
            <v>12725870</v>
          </cell>
          <cell r="Q36">
            <v>13126273</v>
          </cell>
          <cell r="R36">
            <v>13529245</v>
          </cell>
          <cell r="S36">
            <v>13935330</v>
          </cell>
          <cell r="T36">
            <v>14344811</v>
          </cell>
          <cell r="U36">
            <v>14758336</v>
          </cell>
          <cell r="V36">
            <v>15176566</v>
          </cell>
          <cell r="W36" t="str">
            <v>BDI</v>
          </cell>
          <cell r="X36"/>
          <cell r="Y36"/>
          <cell r="Z36"/>
          <cell r="AA36"/>
          <cell r="AB36"/>
          <cell r="AC36"/>
          <cell r="AD36"/>
        </row>
        <row r="37">
          <cell r="A37" t="str">
            <v>Cambodia</v>
          </cell>
          <cell r="B37" t="str">
            <v>KHM</v>
          </cell>
          <cell r="C37" t="str">
            <v>CAM</v>
          </cell>
          <cell r="D37" t="str">
            <v>WPR</v>
          </cell>
          <cell r="E37" t="str">
            <v>Riel</v>
          </cell>
          <cell r="F37">
            <v>4038</v>
          </cell>
          <cell r="G37">
            <v>14363586</v>
          </cell>
          <cell r="H37">
            <v>14593099</v>
          </cell>
          <cell r="I37">
            <v>14832255</v>
          </cell>
          <cell r="J37">
            <v>15078564</v>
          </cell>
          <cell r="K37">
            <v>15328136</v>
          </cell>
          <cell r="L37">
            <v>15577899</v>
          </cell>
          <cell r="M37">
            <v>15827241</v>
          </cell>
          <cell r="N37">
            <v>16076370</v>
          </cell>
          <cell r="O37">
            <v>16323953</v>
          </cell>
          <cell r="P37">
            <v>16568582</v>
          </cell>
          <cell r="Q37">
            <v>16809182</v>
          </cell>
          <cell r="R37">
            <v>17045030</v>
          </cell>
          <cell r="S37">
            <v>17275973</v>
          </cell>
          <cell r="T37">
            <v>17502307</v>
          </cell>
          <cell r="U37">
            <v>17724687</v>
          </cell>
          <cell r="V37">
            <v>17943648</v>
          </cell>
          <cell r="W37" t="str">
            <v>KHM</v>
          </cell>
          <cell r="X37"/>
          <cell r="Y37"/>
          <cell r="Z37"/>
          <cell r="AA37"/>
          <cell r="AB37"/>
          <cell r="AC37"/>
          <cell r="AD37"/>
        </row>
        <row r="38">
          <cell r="A38" t="str">
            <v>Cameroon</v>
          </cell>
          <cell r="B38" t="str">
            <v>CMR</v>
          </cell>
          <cell r="C38" t="str">
            <v>CAE</v>
          </cell>
          <cell r="D38" t="str">
            <v>AFRhigh</v>
          </cell>
          <cell r="E38" t="str">
            <v>Franc</v>
          </cell>
          <cell r="F38">
            <v>494</v>
          </cell>
          <cell r="G38">
            <v>20590666</v>
          </cell>
          <cell r="H38">
            <v>21119065</v>
          </cell>
          <cell r="I38">
            <v>21659488</v>
          </cell>
          <cell r="J38">
            <v>22211166</v>
          </cell>
          <cell r="K38">
            <v>22773014</v>
          </cell>
          <cell r="L38">
            <v>23344179</v>
          </cell>
          <cell r="M38">
            <v>23924407</v>
          </cell>
          <cell r="N38">
            <v>24513689</v>
          </cell>
          <cell r="O38">
            <v>25111719</v>
          </cell>
          <cell r="P38">
            <v>25718212</v>
          </cell>
          <cell r="Q38">
            <v>26332965</v>
          </cell>
          <cell r="R38">
            <v>26955736</v>
          </cell>
          <cell r="S38">
            <v>27586492</v>
          </cell>
          <cell r="T38">
            <v>28225513</v>
          </cell>
          <cell r="U38">
            <v>28873241</v>
          </cell>
          <cell r="V38">
            <v>29529988</v>
          </cell>
          <cell r="W38" t="str">
            <v>CMR</v>
          </cell>
          <cell r="X38"/>
          <cell r="Y38"/>
          <cell r="Z38"/>
          <cell r="AA38"/>
          <cell r="AB38"/>
          <cell r="AC38"/>
          <cell r="AD38"/>
        </row>
        <row r="39">
          <cell r="A39" t="str">
            <v>Canada</v>
          </cell>
          <cell r="B39" t="str">
            <v>CAN</v>
          </cell>
          <cell r="C39" t="str">
            <v>CAN</v>
          </cell>
          <cell r="D39" t="str">
            <v>EME</v>
          </cell>
          <cell r="E39">
            <v>0</v>
          </cell>
          <cell r="F39">
            <v>1</v>
          </cell>
          <cell r="G39">
            <v>34126173</v>
          </cell>
          <cell r="H39">
            <v>34499905</v>
          </cell>
          <cell r="I39">
            <v>34868151</v>
          </cell>
          <cell r="J39">
            <v>35230612</v>
          </cell>
          <cell r="K39">
            <v>35587793</v>
          </cell>
          <cell r="L39">
            <v>35939927</v>
          </cell>
          <cell r="M39">
            <v>36286378</v>
          </cell>
          <cell r="N39">
            <v>36626083</v>
          </cell>
          <cell r="O39">
            <v>36958491</v>
          </cell>
          <cell r="P39">
            <v>37283090</v>
          </cell>
          <cell r="Q39">
            <v>37599569</v>
          </cell>
          <cell r="R39">
            <v>37907388</v>
          </cell>
          <cell r="S39">
            <v>38206638</v>
          </cell>
          <cell r="T39">
            <v>38498449</v>
          </cell>
          <cell r="U39">
            <v>38784437</v>
          </cell>
          <cell r="V39">
            <v>39065703</v>
          </cell>
          <cell r="W39" t="str">
            <v>CAN</v>
          </cell>
          <cell r="X39"/>
          <cell r="Y39"/>
          <cell r="Z39"/>
          <cell r="AA39"/>
          <cell r="AB39"/>
          <cell r="AC39"/>
          <cell r="AD39"/>
        </row>
        <row r="40">
          <cell r="A40" t="str">
            <v>Cape Verde</v>
          </cell>
          <cell r="B40" t="str">
            <v>CPV</v>
          </cell>
          <cell r="C40" t="str">
            <v>CAV</v>
          </cell>
          <cell r="D40" t="str">
            <v>AFRlow</v>
          </cell>
          <cell r="E40" t="str">
            <v>Escudo</v>
          </cell>
          <cell r="F40">
            <v>83</v>
          </cell>
          <cell r="G40">
            <v>490379</v>
          </cell>
          <cell r="H40">
            <v>495159</v>
          </cell>
          <cell r="I40">
            <v>500870</v>
          </cell>
          <cell r="J40">
            <v>507258</v>
          </cell>
          <cell r="K40">
            <v>513906</v>
          </cell>
          <cell r="L40">
            <v>520502</v>
          </cell>
          <cell r="M40">
            <v>526993</v>
          </cell>
          <cell r="N40">
            <v>533468</v>
          </cell>
          <cell r="O40">
            <v>539924</v>
          </cell>
          <cell r="P40">
            <v>546380</v>
          </cell>
          <cell r="Q40">
            <v>552850</v>
          </cell>
          <cell r="R40">
            <v>559309</v>
          </cell>
          <cell r="S40">
            <v>565723</v>
          </cell>
          <cell r="T40">
            <v>572080</v>
          </cell>
          <cell r="U40">
            <v>578374</v>
          </cell>
          <cell r="V40">
            <v>584600</v>
          </cell>
          <cell r="W40" t="str">
            <v>CPV</v>
          </cell>
          <cell r="X40"/>
          <cell r="Y40"/>
          <cell r="Z40"/>
          <cell r="AA40"/>
          <cell r="AB40"/>
          <cell r="AC40"/>
          <cell r="AD40"/>
        </row>
        <row r="41">
          <cell r="A41" t="str">
            <v>Cayman Islands</v>
          </cell>
          <cell r="B41" t="str">
            <v>CYM</v>
          </cell>
          <cell r="C41" t="str">
            <v>CAY</v>
          </cell>
          <cell r="D41" t="str">
            <v>LAC</v>
          </cell>
          <cell r="E41">
            <v>0</v>
          </cell>
          <cell r="F41">
            <v>0</v>
          </cell>
          <cell r="G41">
            <v>55509</v>
          </cell>
          <cell r="H41">
            <v>56580</v>
          </cell>
          <cell r="I41">
            <v>57522</v>
          </cell>
          <cell r="J41">
            <v>58369</v>
          </cell>
          <cell r="K41">
            <v>59172</v>
          </cell>
          <cell r="L41">
            <v>59967</v>
          </cell>
          <cell r="M41">
            <v>60764</v>
          </cell>
          <cell r="N41">
            <v>61557</v>
          </cell>
          <cell r="O41">
            <v>62346</v>
          </cell>
          <cell r="P41">
            <v>63124</v>
          </cell>
          <cell r="Q41">
            <v>63891</v>
          </cell>
          <cell r="R41">
            <v>64647</v>
          </cell>
          <cell r="S41">
            <v>65400</v>
          </cell>
          <cell r="T41">
            <v>66146</v>
          </cell>
          <cell r="U41">
            <v>66883</v>
          </cell>
          <cell r="V41">
            <v>67611</v>
          </cell>
          <cell r="W41" t="str">
            <v>CYM</v>
          </cell>
          <cell r="X41"/>
          <cell r="Y41"/>
          <cell r="Z41"/>
          <cell r="AA41"/>
          <cell r="AB41"/>
          <cell r="AC41"/>
          <cell r="AD41"/>
        </row>
        <row r="42">
          <cell r="A42" t="str">
            <v>Central African Republic</v>
          </cell>
          <cell r="B42" t="str">
            <v>CAF</v>
          </cell>
          <cell r="C42" t="str">
            <v>CAF</v>
          </cell>
          <cell r="D42" t="str">
            <v>AFRhigh</v>
          </cell>
          <cell r="E42" t="str">
            <v>Franc</v>
          </cell>
          <cell r="F42">
            <v>494</v>
          </cell>
          <cell r="G42">
            <v>4444973</v>
          </cell>
          <cell r="H42">
            <v>4530903</v>
          </cell>
          <cell r="I42">
            <v>4619500</v>
          </cell>
          <cell r="J42">
            <v>4710678</v>
          </cell>
          <cell r="K42">
            <v>4804316</v>
          </cell>
          <cell r="L42">
            <v>4900274</v>
          </cell>
          <cell r="M42">
            <v>4998493</v>
          </cell>
          <cell r="N42">
            <v>5098826</v>
          </cell>
          <cell r="O42">
            <v>5200921</v>
          </cell>
          <cell r="P42">
            <v>5304347</v>
          </cell>
          <cell r="Q42">
            <v>5408758</v>
          </cell>
          <cell r="R42">
            <v>5513977</v>
          </cell>
          <cell r="S42">
            <v>5619950</v>
          </cell>
          <cell r="T42">
            <v>5726617</v>
          </cell>
          <cell r="U42">
            <v>5833966</v>
          </cell>
          <cell r="V42">
            <v>5941978</v>
          </cell>
          <cell r="W42" t="str">
            <v>CAF</v>
          </cell>
          <cell r="X42"/>
          <cell r="Y42"/>
          <cell r="Z42"/>
          <cell r="AA42"/>
          <cell r="AB42"/>
          <cell r="AC42"/>
          <cell r="AD42"/>
        </row>
        <row r="43">
          <cell r="A43" t="str">
            <v>Chad</v>
          </cell>
          <cell r="B43" t="str">
            <v>TCD</v>
          </cell>
          <cell r="C43" t="str">
            <v>CHA</v>
          </cell>
          <cell r="D43" t="str">
            <v>AFRlow</v>
          </cell>
          <cell r="E43" t="str">
            <v>Franc</v>
          </cell>
          <cell r="F43">
            <v>494</v>
          </cell>
          <cell r="G43">
            <v>11896380</v>
          </cell>
          <cell r="H43">
            <v>12298512</v>
          </cell>
          <cell r="I43">
            <v>12715465</v>
          </cell>
          <cell r="J43">
            <v>13145788</v>
          </cell>
          <cell r="K43">
            <v>13587053</v>
          </cell>
          <cell r="L43">
            <v>14037472</v>
          </cell>
          <cell r="M43">
            <v>14496739</v>
          </cell>
          <cell r="N43">
            <v>14965482</v>
          </cell>
          <cell r="O43">
            <v>15443905</v>
          </cell>
          <cell r="P43">
            <v>15932433</v>
          </cell>
          <cell r="Q43">
            <v>16431332</v>
          </cell>
          <cell r="R43">
            <v>16940485</v>
          </cell>
          <cell r="S43">
            <v>17459577</v>
          </cell>
          <cell r="T43">
            <v>17988450</v>
          </cell>
          <cell r="U43">
            <v>18526913</v>
          </cell>
          <cell r="V43">
            <v>19074752</v>
          </cell>
          <cell r="W43" t="str">
            <v>TCD</v>
          </cell>
          <cell r="X43"/>
          <cell r="Y43"/>
          <cell r="Z43"/>
          <cell r="AA43"/>
          <cell r="AB43"/>
          <cell r="AC43"/>
          <cell r="AD43"/>
        </row>
        <row r="44">
          <cell r="A44" t="str">
            <v>Chile</v>
          </cell>
          <cell r="B44" t="str">
            <v>CHL</v>
          </cell>
          <cell r="C44" t="str">
            <v>CHI</v>
          </cell>
          <cell r="D44" t="str">
            <v>LAC</v>
          </cell>
          <cell r="E44">
            <v>0</v>
          </cell>
          <cell r="F44">
            <v>570</v>
          </cell>
          <cell r="G44">
            <v>17015048</v>
          </cell>
          <cell r="H44">
            <v>17201305</v>
          </cell>
          <cell r="I44">
            <v>17388437</v>
          </cell>
          <cell r="J44">
            <v>17575833</v>
          </cell>
          <cell r="K44">
            <v>17762647</v>
          </cell>
          <cell r="L44">
            <v>17948141</v>
          </cell>
          <cell r="M44">
            <v>18131850</v>
          </cell>
          <cell r="N44">
            <v>18313495</v>
          </cell>
          <cell r="O44">
            <v>18492710</v>
          </cell>
          <cell r="P44">
            <v>18669158</v>
          </cell>
          <cell r="Q44">
            <v>18842420</v>
          </cell>
          <cell r="R44">
            <v>19012434</v>
          </cell>
          <cell r="S44">
            <v>19178645</v>
          </cell>
          <cell r="T44">
            <v>19339577</v>
          </cell>
          <cell r="U44">
            <v>19493382</v>
          </cell>
          <cell r="V44">
            <v>19638801</v>
          </cell>
          <cell r="W44" t="str">
            <v>CHL</v>
          </cell>
          <cell r="X44"/>
          <cell r="Y44"/>
          <cell r="Z44"/>
          <cell r="AA44"/>
          <cell r="AB44"/>
          <cell r="AC44"/>
          <cell r="AD44"/>
        </row>
        <row r="45">
          <cell r="A45" t="str">
            <v>China</v>
          </cell>
          <cell r="B45" t="str">
            <v>CHN</v>
          </cell>
          <cell r="C45" t="str">
            <v>CHN</v>
          </cell>
          <cell r="D45" t="str">
            <v>WPR</v>
          </cell>
          <cell r="E45" t="str">
            <v>Yuan</v>
          </cell>
          <cell r="F45">
            <v>6</v>
          </cell>
          <cell r="G45">
            <v>1340968737</v>
          </cell>
          <cell r="H45">
            <v>1348174478</v>
          </cell>
          <cell r="I45">
            <v>1355386952</v>
          </cell>
          <cell r="J45">
            <v>1362514260</v>
          </cell>
          <cell r="K45">
            <v>1369435670</v>
          </cell>
          <cell r="L45">
            <v>1376048943</v>
          </cell>
          <cell r="M45">
            <v>1382323332</v>
          </cell>
          <cell r="N45">
            <v>1388232693</v>
          </cell>
          <cell r="O45">
            <v>1393686493</v>
          </cell>
          <cell r="P45">
            <v>1398582297</v>
          </cell>
          <cell r="Q45">
            <v>1402847838</v>
          </cell>
          <cell r="R45">
            <v>1406441252</v>
          </cell>
          <cell r="S45">
            <v>1409374980</v>
          </cell>
          <cell r="T45">
            <v>1411703058</v>
          </cell>
          <cell r="U45">
            <v>1413512196</v>
          </cell>
          <cell r="V45">
            <v>1414872342</v>
          </cell>
          <cell r="W45" t="str">
            <v>CHN</v>
          </cell>
          <cell r="X45"/>
          <cell r="Y45"/>
          <cell r="Z45"/>
          <cell r="AA45"/>
          <cell r="AB45"/>
          <cell r="AC45"/>
          <cell r="AD45"/>
        </row>
        <row r="46">
          <cell r="A46" t="str">
            <v>China, Hong Kong SAR</v>
          </cell>
          <cell r="B46" t="str">
            <v>HKG</v>
          </cell>
          <cell r="C46" t="str">
            <v>HOK</v>
          </cell>
          <cell r="D46" t="str">
            <v>WPR</v>
          </cell>
          <cell r="E46">
            <v>0</v>
          </cell>
          <cell r="F46">
            <v>8</v>
          </cell>
          <cell r="G46">
            <v>6993570</v>
          </cell>
          <cell r="H46">
            <v>7044211</v>
          </cell>
          <cell r="I46">
            <v>7101858</v>
          </cell>
          <cell r="J46">
            <v>7163930</v>
          </cell>
          <cell r="K46">
            <v>7226869</v>
          </cell>
          <cell r="L46">
            <v>7287983</v>
          </cell>
          <cell r="M46">
            <v>7346248</v>
          </cell>
          <cell r="N46">
            <v>7401941</v>
          </cell>
          <cell r="O46">
            <v>7455254</v>
          </cell>
          <cell r="P46">
            <v>7506850</v>
          </cell>
          <cell r="Q46">
            <v>7557180</v>
          </cell>
          <cell r="R46">
            <v>7606006</v>
          </cell>
          <cell r="S46">
            <v>7652844</v>
          </cell>
          <cell r="T46">
            <v>7697650</v>
          </cell>
          <cell r="U46">
            <v>7740419</v>
          </cell>
          <cell r="V46">
            <v>7781128</v>
          </cell>
          <cell r="W46" t="str">
            <v>HKG</v>
          </cell>
          <cell r="X46"/>
          <cell r="Y46"/>
          <cell r="Z46"/>
          <cell r="AA46"/>
          <cell r="AB46"/>
          <cell r="AC46"/>
          <cell r="AD46"/>
        </row>
        <row r="47">
          <cell r="A47" t="str">
            <v>China, Macao SAR</v>
          </cell>
          <cell r="B47" t="str">
            <v>MAC</v>
          </cell>
          <cell r="C47" t="str">
            <v>MAC</v>
          </cell>
          <cell r="D47" t="str">
            <v>WPR</v>
          </cell>
          <cell r="E47">
            <v>0</v>
          </cell>
          <cell r="F47">
            <v>8</v>
          </cell>
          <cell r="G47">
            <v>534626</v>
          </cell>
          <cell r="H47">
            <v>546682</v>
          </cell>
          <cell r="I47">
            <v>557763</v>
          </cell>
          <cell r="J47">
            <v>568056</v>
          </cell>
          <cell r="K47">
            <v>577914</v>
          </cell>
          <cell r="L47">
            <v>587606</v>
          </cell>
          <cell r="M47">
            <v>597126</v>
          </cell>
          <cell r="N47">
            <v>606384</v>
          </cell>
          <cell r="O47">
            <v>615471</v>
          </cell>
          <cell r="P47">
            <v>624491</v>
          </cell>
          <cell r="Q47">
            <v>633521</v>
          </cell>
          <cell r="R47">
            <v>642604</v>
          </cell>
          <cell r="S47">
            <v>651723</v>
          </cell>
          <cell r="T47">
            <v>660822</v>
          </cell>
          <cell r="U47">
            <v>669808</v>
          </cell>
          <cell r="V47">
            <v>678609</v>
          </cell>
          <cell r="W47" t="str">
            <v>MAC</v>
          </cell>
          <cell r="X47"/>
          <cell r="Y47"/>
          <cell r="Z47"/>
          <cell r="AA47"/>
          <cell r="AB47"/>
          <cell r="AC47"/>
          <cell r="AD47"/>
        </row>
        <row r="48">
          <cell r="A48" t="str">
            <v>Colombia</v>
          </cell>
          <cell r="B48" t="str">
            <v>COL</v>
          </cell>
          <cell r="C48" t="str">
            <v>COL</v>
          </cell>
          <cell r="D48" t="str">
            <v>LAC</v>
          </cell>
          <cell r="E48" t="str">
            <v>Peso</v>
          </cell>
          <cell r="F48">
            <v>2002</v>
          </cell>
          <cell r="G48">
            <v>45918101</v>
          </cell>
          <cell r="H48">
            <v>46406446</v>
          </cell>
          <cell r="I48">
            <v>46881018</v>
          </cell>
          <cell r="J48">
            <v>47342363</v>
          </cell>
          <cell r="K48">
            <v>47791393</v>
          </cell>
          <cell r="L48">
            <v>48228704</v>
          </cell>
          <cell r="M48">
            <v>48654392</v>
          </cell>
          <cell r="N48">
            <v>49067981</v>
          </cell>
          <cell r="O48">
            <v>49468825</v>
          </cell>
          <cell r="P48">
            <v>49856030</v>
          </cell>
          <cell r="Q48">
            <v>50228928</v>
          </cell>
          <cell r="R48">
            <v>50587279</v>
          </cell>
          <cell r="S48">
            <v>50931182</v>
          </cell>
          <cell r="T48">
            <v>51260736</v>
          </cell>
          <cell r="U48">
            <v>51576172</v>
          </cell>
          <cell r="V48">
            <v>51877661</v>
          </cell>
          <cell r="W48" t="str">
            <v>COL</v>
          </cell>
          <cell r="X48"/>
          <cell r="Y48"/>
          <cell r="Z48"/>
          <cell r="AA48"/>
          <cell r="AB48"/>
          <cell r="AC48"/>
          <cell r="AD48"/>
        </row>
        <row r="49">
          <cell r="A49" t="str">
            <v>Comoros</v>
          </cell>
          <cell r="B49" t="str">
            <v>COM</v>
          </cell>
          <cell r="C49" t="str">
            <v>COM</v>
          </cell>
          <cell r="D49" t="str">
            <v>AFRlow</v>
          </cell>
          <cell r="E49" t="str">
            <v>Franc</v>
          </cell>
          <cell r="F49">
            <v>371</v>
          </cell>
          <cell r="G49">
            <v>698695</v>
          </cell>
          <cell r="H49">
            <v>715972</v>
          </cell>
          <cell r="I49">
            <v>733661</v>
          </cell>
          <cell r="J49">
            <v>751697</v>
          </cell>
          <cell r="K49">
            <v>769991</v>
          </cell>
          <cell r="L49">
            <v>788474</v>
          </cell>
          <cell r="M49">
            <v>807118</v>
          </cell>
          <cell r="N49">
            <v>825920</v>
          </cell>
          <cell r="O49">
            <v>844866</v>
          </cell>
          <cell r="P49">
            <v>863949</v>
          </cell>
          <cell r="Q49">
            <v>883162</v>
          </cell>
          <cell r="R49">
            <v>902492</v>
          </cell>
          <cell r="S49">
            <v>921925</v>
          </cell>
          <cell r="T49">
            <v>941463</v>
          </cell>
          <cell r="U49">
            <v>961109</v>
          </cell>
          <cell r="V49">
            <v>980865</v>
          </cell>
          <cell r="W49" t="str">
            <v>COM</v>
          </cell>
          <cell r="X49"/>
          <cell r="Y49"/>
          <cell r="Z49"/>
          <cell r="AA49"/>
          <cell r="AB49"/>
          <cell r="AC49"/>
          <cell r="AD49"/>
        </row>
        <row r="50">
          <cell r="A50" t="str">
            <v>Congo</v>
          </cell>
          <cell r="B50" t="str">
            <v>COG</v>
          </cell>
          <cell r="C50" t="str">
            <v>CNG</v>
          </cell>
          <cell r="D50" t="str">
            <v>AFRhigh</v>
          </cell>
          <cell r="E50" t="str">
            <v>Franc</v>
          </cell>
          <cell r="F50">
            <v>494</v>
          </cell>
          <cell r="G50">
            <v>4066078</v>
          </cell>
          <cell r="H50">
            <v>4177435</v>
          </cell>
          <cell r="I50">
            <v>4286188</v>
          </cell>
          <cell r="J50">
            <v>4394334</v>
          </cell>
          <cell r="K50">
            <v>4504962</v>
          </cell>
          <cell r="L50">
            <v>4620330</v>
          </cell>
          <cell r="M50">
            <v>4740992</v>
          </cell>
          <cell r="N50">
            <v>4866243</v>
          </cell>
          <cell r="O50">
            <v>4995596</v>
          </cell>
          <cell r="P50">
            <v>5128171</v>
          </cell>
          <cell r="Q50">
            <v>5263342</v>
          </cell>
          <cell r="R50">
            <v>5401073</v>
          </cell>
          <cell r="S50">
            <v>5541706</v>
          </cell>
          <cell r="T50">
            <v>5685426</v>
          </cell>
          <cell r="U50">
            <v>5832509</v>
          </cell>
          <cell r="V50">
            <v>5983155</v>
          </cell>
          <cell r="W50" t="str">
            <v>COG</v>
          </cell>
          <cell r="X50"/>
          <cell r="Y50"/>
          <cell r="Z50"/>
          <cell r="AA50"/>
          <cell r="AB50"/>
          <cell r="AC50"/>
          <cell r="AD50"/>
        </row>
        <row r="51">
          <cell r="A51" t="str">
            <v>Cook Islands</v>
          </cell>
          <cell r="B51" t="str">
            <v>COK</v>
          </cell>
          <cell r="C51" t="str">
            <v>COK</v>
          </cell>
          <cell r="D51" t="str">
            <v>WPR</v>
          </cell>
          <cell r="E51">
            <v>0</v>
          </cell>
          <cell r="F51" t="e">
            <v>#N/A</v>
          </cell>
          <cell r="G51">
            <v>20284</v>
          </cell>
          <cell r="H51">
            <v>20407</v>
          </cell>
          <cell r="I51">
            <v>20518</v>
          </cell>
          <cell r="J51">
            <v>20621</v>
          </cell>
          <cell r="K51">
            <v>20725</v>
          </cell>
          <cell r="L51">
            <v>20833</v>
          </cell>
          <cell r="M51">
            <v>20948</v>
          </cell>
          <cell r="N51">
            <v>21069</v>
          </cell>
          <cell r="O51">
            <v>21196</v>
          </cell>
          <cell r="P51">
            <v>21323</v>
          </cell>
          <cell r="Q51">
            <v>21448</v>
          </cell>
          <cell r="R51">
            <v>21571</v>
          </cell>
          <cell r="S51">
            <v>21693</v>
          </cell>
          <cell r="T51">
            <v>21813</v>
          </cell>
          <cell r="U51">
            <v>21930</v>
          </cell>
          <cell r="V51">
            <v>22043</v>
          </cell>
          <cell r="W51" t="str">
            <v>COK</v>
          </cell>
          <cell r="X51"/>
          <cell r="Y51"/>
          <cell r="Z51"/>
          <cell r="AA51"/>
          <cell r="AB51"/>
          <cell r="AC51"/>
          <cell r="AD51"/>
        </row>
        <row r="52">
          <cell r="A52" t="str">
            <v>Costa Rica</v>
          </cell>
          <cell r="B52" t="str">
            <v>CRI</v>
          </cell>
          <cell r="C52" t="str">
            <v>COR</v>
          </cell>
          <cell r="D52" t="str">
            <v>LAC</v>
          </cell>
          <cell r="E52" t="str">
            <v>Colone</v>
          </cell>
          <cell r="F52">
            <v>538</v>
          </cell>
          <cell r="G52">
            <v>4545273</v>
          </cell>
          <cell r="H52">
            <v>4600487</v>
          </cell>
          <cell r="I52">
            <v>4654148</v>
          </cell>
          <cell r="J52">
            <v>4706433</v>
          </cell>
          <cell r="K52">
            <v>4757606</v>
          </cell>
          <cell r="L52">
            <v>4807850</v>
          </cell>
          <cell r="M52">
            <v>4857218</v>
          </cell>
          <cell r="N52">
            <v>4905626</v>
          </cell>
          <cell r="O52">
            <v>4952954</v>
          </cell>
          <cell r="P52">
            <v>4999018</v>
          </cell>
          <cell r="Q52">
            <v>5043683</v>
          </cell>
          <cell r="R52">
            <v>5086915</v>
          </cell>
          <cell r="S52">
            <v>5128743</v>
          </cell>
          <cell r="T52">
            <v>5169165</v>
          </cell>
          <cell r="U52">
            <v>5208197</v>
          </cell>
          <cell r="V52">
            <v>5245853</v>
          </cell>
          <cell r="W52" t="str">
            <v>CRI</v>
          </cell>
          <cell r="X52"/>
          <cell r="Y52"/>
          <cell r="Z52"/>
          <cell r="AA52"/>
          <cell r="AB52"/>
          <cell r="AC52"/>
          <cell r="AD52"/>
        </row>
        <row r="53">
          <cell r="A53" t="str">
            <v>Côte d'Ivoire</v>
          </cell>
          <cell r="B53" t="str">
            <v>CIV</v>
          </cell>
          <cell r="C53" t="str">
            <v xml:space="preserve"> </v>
          </cell>
          <cell r="D53" t="str">
            <v>AFRhigh</v>
          </cell>
          <cell r="E53" t="str">
            <v xml:space="preserve"> </v>
          </cell>
          <cell r="F53">
            <v>494</v>
          </cell>
          <cell r="G53">
            <v>20131707</v>
          </cell>
          <cell r="H53">
            <v>20604172</v>
          </cell>
          <cell r="I53">
            <v>21102641</v>
          </cell>
          <cell r="J53">
            <v>21622490</v>
          </cell>
          <cell r="K53">
            <v>22157107</v>
          </cell>
          <cell r="L53">
            <v>22701556</v>
          </cell>
          <cell r="M53">
            <v>23254184</v>
          </cell>
          <cell r="N53">
            <v>23815886</v>
          </cell>
          <cell r="O53">
            <v>24387362</v>
          </cell>
          <cell r="P53">
            <v>24970213</v>
          </cell>
          <cell r="Q53">
            <v>25565562</v>
          </cell>
          <cell r="R53">
            <v>26173257</v>
          </cell>
          <cell r="S53">
            <v>26792489</v>
          </cell>
          <cell r="T53">
            <v>27423027</v>
          </cell>
          <cell r="U53">
            <v>28064574</v>
          </cell>
          <cell r="V53">
            <v>28716931</v>
          </cell>
          <cell r="W53" t="str">
            <v>CIV</v>
          </cell>
          <cell r="X53"/>
          <cell r="Y53"/>
          <cell r="Z53"/>
          <cell r="AA53"/>
          <cell r="AB53"/>
          <cell r="AC53"/>
          <cell r="AD53"/>
        </row>
        <row r="54">
          <cell r="A54" t="str">
            <v>Croatia</v>
          </cell>
          <cell r="B54" t="str">
            <v>HRV</v>
          </cell>
          <cell r="C54" t="str">
            <v>CRO</v>
          </cell>
          <cell r="D54" t="str">
            <v>CEUR</v>
          </cell>
          <cell r="E54">
            <v>0</v>
          </cell>
          <cell r="F54">
            <v>6</v>
          </cell>
          <cell r="G54">
            <v>4316425</v>
          </cell>
          <cell r="H54">
            <v>4302073</v>
          </cell>
          <cell r="I54">
            <v>4287015</v>
          </cell>
          <cell r="J54">
            <v>4271497</v>
          </cell>
          <cell r="K54">
            <v>4255853</v>
          </cell>
          <cell r="L54">
            <v>4240317</v>
          </cell>
          <cell r="M54">
            <v>4225001</v>
          </cell>
          <cell r="N54">
            <v>4209815</v>
          </cell>
          <cell r="O54">
            <v>4194538</v>
          </cell>
          <cell r="P54">
            <v>4178842</v>
          </cell>
          <cell r="Q54">
            <v>4162499</v>
          </cell>
          <cell r="R54">
            <v>4145441</v>
          </cell>
          <cell r="S54">
            <v>4127763</v>
          </cell>
          <cell r="T54">
            <v>4109583</v>
          </cell>
          <cell r="U54">
            <v>4091088</v>
          </cell>
          <cell r="V54">
            <v>4072414</v>
          </cell>
          <cell r="W54" t="str">
            <v>HRV</v>
          </cell>
          <cell r="X54"/>
          <cell r="Y54"/>
          <cell r="Z54"/>
          <cell r="AA54"/>
          <cell r="AB54"/>
          <cell r="AC54"/>
          <cell r="AD54"/>
        </row>
        <row r="55">
          <cell r="A55" t="str">
            <v>Cuba</v>
          </cell>
          <cell r="B55" t="str">
            <v>CUB</v>
          </cell>
          <cell r="C55" t="str">
            <v>CUB</v>
          </cell>
          <cell r="D55" t="str">
            <v>LAC</v>
          </cell>
          <cell r="E55">
            <v>0</v>
          </cell>
          <cell r="F55">
            <v>0</v>
          </cell>
          <cell r="G55">
            <v>11308133</v>
          </cell>
          <cell r="H55">
            <v>11323570</v>
          </cell>
          <cell r="I55">
            <v>11342631</v>
          </cell>
          <cell r="J55">
            <v>11362505</v>
          </cell>
          <cell r="K55">
            <v>11379111</v>
          </cell>
          <cell r="L55">
            <v>11389562</v>
          </cell>
          <cell r="M55">
            <v>11392889</v>
          </cell>
          <cell r="N55">
            <v>11390184</v>
          </cell>
          <cell r="O55">
            <v>11383128</v>
          </cell>
          <cell r="P55">
            <v>11374293</v>
          </cell>
          <cell r="Q55">
            <v>11365563</v>
          </cell>
          <cell r="R55">
            <v>11357354</v>
          </cell>
          <cell r="S55">
            <v>11349065</v>
          </cell>
          <cell r="T55">
            <v>11340340</v>
          </cell>
          <cell r="U55">
            <v>11330513</v>
          </cell>
          <cell r="V55">
            <v>11319071</v>
          </cell>
          <cell r="W55" t="str">
            <v>CUB</v>
          </cell>
          <cell r="X55"/>
          <cell r="Y55"/>
          <cell r="Z55"/>
          <cell r="AA55"/>
          <cell r="AB55"/>
          <cell r="AC55"/>
          <cell r="AD55"/>
        </row>
        <row r="56">
          <cell r="A56" t="str">
            <v>Cyprus</v>
          </cell>
          <cell r="B56" t="str">
            <v>CYP</v>
          </cell>
          <cell r="C56" t="str">
            <v>CYP</v>
          </cell>
          <cell r="D56" t="str">
            <v>CEUR</v>
          </cell>
          <cell r="E56">
            <v>0</v>
          </cell>
          <cell r="F56">
            <v>0</v>
          </cell>
          <cell r="G56">
            <v>1103685</v>
          </cell>
          <cell r="H56">
            <v>1116644</v>
          </cell>
          <cell r="I56">
            <v>1129303</v>
          </cell>
          <cell r="J56">
            <v>1141652</v>
          </cell>
          <cell r="K56">
            <v>1153658</v>
          </cell>
          <cell r="L56">
            <v>1165300</v>
          </cell>
          <cell r="M56">
            <v>1176598</v>
          </cell>
          <cell r="N56">
            <v>1187575</v>
          </cell>
          <cell r="O56">
            <v>1198198</v>
          </cell>
          <cell r="P56">
            <v>1208426</v>
          </cell>
          <cell r="Q56">
            <v>1218234</v>
          </cell>
          <cell r="R56">
            <v>1227608</v>
          </cell>
          <cell r="S56">
            <v>1236579</v>
          </cell>
          <cell r="T56">
            <v>1245212</v>
          </cell>
          <cell r="U56">
            <v>1253604</v>
          </cell>
          <cell r="V56">
            <v>1261821</v>
          </cell>
          <cell r="W56" t="str">
            <v>CYP</v>
          </cell>
          <cell r="X56"/>
          <cell r="Y56"/>
          <cell r="Z56"/>
          <cell r="AA56"/>
          <cell r="AB56"/>
          <cell r="AC56"/>
          <cell r="AD56"/>
        </row>
        <row r="57">
          <cell r="A57" t="str">
            <v>Czech Republic</v>
          </cell>
          <cell r="B57" t="str">
            <v>CZE</v>
          </cell>
          <cell r="C57" t="str">
            <v>CZH</v>
          </cell>
          <cell r="D57" t="str">
            <v>EME</v>
          </cell>
          <cell r="E57">
            <v>0</v>
          </cell>
          <cell r="F57">
            <v>21</v>
          </cell>
          <cell r="G57">
            <v>10506617</v>
          </cell>
          <cell r="H57">
            <v>10533985</v>
          </cell>
          <cell r="I57">
            <v>10545161</v>
          </cell>
          <cell r="J57">
            <v>10545314</v>
          </cell>
          <cell r="K57">
            <v>10542666</v>
          </cell>
          <cell r="L57">
            <v>10543186</v>
          </cell>
          <cell r="M57">
            <v>10548058</v>
          </cell>
          <cell r="N57">
            <v>10555130</v>
          </cell>
          <cell r="O57">
            <v>10563111</v>
          </cell>
          <cell r="P57">
            <v>10569725</v>
          </cell>
          <cell r="Q57">
            <v>10573294</v>
          </cell>
          <cell r="R57">
            <v>10573731</v>
          </cell>
          <cell r="S57">
            <v>10571681</v>
          </cell>
          <cell r="T57">
            <v>10567021</v>
          </cell>
          <cell r="U57">
            <v>10559693</v>
          </cell>
          <cell r="V57">
            <v>10549678</v>
          </cell>
          <cell r="W57" t="str">
            <v>CZE</v>
          </cell>
          <cell r="X57"/>
          <cell r="Y57"/>
          <cell r="Z57"/>
          <cell r="AA57"/>
          <cell r="AB57"/>
          <cell r="AC57"/>
          <cell r="AD57"/>
        </row>
        <row r="58">
          <cell r="A58" t="str">
            <v>Democratic People's Republic of Korea</v>
          </cell>
          <cell r="B58" t="str">
            <v>PRK</v>
          </cell>
          <cell r="C58" t="str">
            <v xml:space="preserve"> </v>
          </cell>
          <cell r="D58" t="str">
            <v>SEAR</v>
          </cell>
          <cell r="E58" t="str">
            <v xml:space="preserve"> </v>
          </cell>
          <cell r="F58">
            <v>0</v>
          </cell>
          <cell r="G58">
            <v>24500506</v>
          </cell>
          <cell r="H58">
            <v>24631359</v>
          </cell>
          <cell r="I58">
            <v>24763353</v>
          </cell>
          <cell r="J58">
            <v>24895705</v>
          </cell>
          <cell r="K58">
            <v>25026772</v>
          </cell>
          <cell r="L58">
            <v>25155317</v>
          </cell>
          <cell r="M58">
            <v>25281327</v>
          </cell>
          <cell r="N58">
            <v>25405296</v>
          </cell>
          <cell r="O58">
            <v>25527001</v>
          </cell>
          <cell r="P58">
            <v>25646193</v>
          </cell>
          <cell r="Q58">
            <v>25762603</v>
          </cell>
          <cell r="R58">
            <v>25875979</v>
          </cell>
          <cell r="S58">
            <v>25986028</v>
          </cell>
          <cell r="T58">
            <v>26092375</v>
          </cell>
          <cell r="U58">
            <v>26194605</v>
          </cell>
          <cell r="V58">
            <v>26292319</v>
          </cell>
          <cell r="W58" t="str">
            <v>PRK</v>
          </cell>
          <cell r="X58"/>
          <cell r="Y58"/>
          <cell r="Z58"/>
          <cell r="AA58"/>
          <cell r="AB58"/>
          <cell r="AC58"/>
          <cell r="AD58"/>
        </row>
        <row r="59">
          <cell r="A59" t="str">
            <v>Democratic Republic of the Congo</v>
          </cell>
          <cell r="B59" t="str">
            <v>COD</v>
          </cell>
          <cell r="C59" t="str">
            <v xml:space="preserve"> </v>
          </cell>
          <cell r="D59" t="str">
            <v>AFRhigh</v>
          </cell>
          <cell r="E59" t="str">
            <v xml:space="preserve"> </v>
          </cell>
          <cell r="F59">
            <v>925</v>
          </cell>
          <cell r="G59">
            <v>65938712</v>
          </cell>
          <cell r="H59">
            <v>68087376</v>
          </cell>
          <cell r="I59">
            <v>70291160</v>
          </cell>
          <cell r="J59">
            <v>72552861</v>
          </cell>
          <cell r="K59">
            <v>74877030</v>
          </cell>
          <cell r="L59">
            <v>77266814</v>
          </cell>
          <cell r="M59">
            <v>79722624</v>
          </cell>
          <cell r="N59">
            <v>82242685</v>
          </cell>
          <cell r="O59">
            <v>84825354</v>
          </cell>
          <cell r="P59">
            <v>87468225</v>
          </cell>
          <cell r="Q59">
            <v>90169404</v>
          </cell>
          <cell r="R59">
            <v>92928273</v>
          </cell>
          <cell r="S59">
            <v>95744853</v>
          </cell>
          <cell r="T59">
            <v>98618625</v>
          </cell>
          <cell r="U59">
            <v>101549172</v>
          </cell>
          <cell r="V59">
            <v>104536102</v>
          </cell>
          <cell r="W59" t="str">
            <v>COD</v>
          </cell>
          <cell r="X59"/>
          <cell r="Y59"/>
          <cell r="Z59"/>
          <cell r="AA59"/>
          <cell r="AB59"/>
          <cell r="AC59"/>
          <cell r="AD59"/>
        </row>
        <row r="60">
          <cell r="A60" t="str">
            <v>Denmark</v>
          </cell>
          <cell r="B60" t="str">
            <v>DNK</v>
          </cell>
          <cell r="C60" t="str">
            <v>DEN</v>
          </cell>
          <cell r="D60" t="str">
            <v>EME</v>
          </cell>
          <cell r="E60">
            <v>0</v>
          </cell>
          <cell r="F60">
            <v>6</v>
          </cell>
          <cell r="G60">
            <v>5550959</v>
          </cell>
          <cell r="H60">
            <v>5576577</v>
          </cell>
          <cell r="I60">
            <v>5600972</v>
          </cell>
          <cell r="J60">
            <v>5624293</v>
          </cell>
          <cell r="K60">
            <v>5646899</v>
          </cell>
          <cell r="L60">
            <v>5669081</v>
          </cell>
          <cell r="M60">
            <v>5690750</v>
          </cell>
          <cell r="N60">
            <v>5711837</v>
          </cell>
          <cell r="O60">
            <v>5732713</v>
          </cell>
          <cell r="P60">
            <v>5753864</v>
          </cell>
          <cell r="Q60">
            <v>5775634</v>
          </cell>
          <cell r="R60">
            <v>5798145</v>
          </cell>
          <cell r="S60">
            <v>5821273</v>
          </cell>
          <cell r="T60">
            <v>5844804</v>
          </cell>
          <cell r="U60">
            <v>5868405</v>
          </cell>
          <cell r="V60">
            <v>5891804</v>
          </cell>
          <cell r="W60" t="str">
            <v>DNK</v>
          </cell>
          <cell r="X60"/>
          <cell r="Y60"/>
          <cell r="Z60"/>
          <cell r="AA60"/>
          <cell r="AB60"/>
          <cell r="AC60"/>
          <cell r="AD60"/>
        </row>
        <row r="61">
          <cell r="A61" t="str">
            <v>Djibouti</v>
          </cell>
          <cell r="B61" t="str">
            <v>DJI</v>
          </cell>
          <cell r="C61" t="str">
            <v>DJI</v>
          </cell>
          <cell r="D61" t="str">
            <v>EMR</v>
          </cell>
          <cell r="E61" t="str">
            <v>Franc</v>
          </cell>
          <cell r="F61">
            <v>178</v>
          </cell>
          <cell r="G61">
            <v>830802</v>
          </cell>
          <cell r="H61">
            <v>841802</v>
          </cell>
          <cell r="I61">
            <v>853069</v>
          </cell>
          <cell r="J61">
            <v>864554</v>
          </cell>
          <cell r="K61">
            <v>876174</v>
          </cell>
          <cell r="L61">
            <v>887861</v>
          </cell>
          <cell r="M61">
            <v>899598</v>
          </cell>
          <cell r="N61">
            <v>911382</v>
          </cell>
          <cell r="O61">
            <v>923181</v>
          </cell>
          <cell r="P61">
            <v>934955</v>
          </cell>
          <cell r="Q61">
            <v>946669</v>
          </cell>
          <cell r="R61">
            <v>958299</v>
          </cell>
          <cell r="S61">
            <v>969816</v>
          </cell>
          <cell r="T61">
            <v>981179</v>
          </cell>
          <cell r="U61">
            <v>992340</v>
          </cell>
          <cell r="V61">
            <v>1003260</v>
          </cell>
          <cell r="W61" t="str">
            <v>DJI</v>
          </cell>
          <cell r="X61"/>
          <cell r="Y61"/>
          <cell r="Z61"/>
          <cell r="AA61"/>
          <cell r="AB61"/>
          <cell r="AC61"/>
          <cell r="AD61"/>
        </row>
        <row r="62">
          <cell r="A62" t="str">
            <v>Dominica</v>
          </cell>
          <cell r="B62" t="str">
            <v>DMA</v>
          </cell>
          <cell r="C62" t="str">
            <v>DOM</v>
          </cell>
          <cell r="D62" t="str">
            <v>LAC</v>
          </cell>
          <cell r="E62">
            <v>0</v>
          </cell>
          <cell r="F62">
            <v>3</v>
          </cell>
          <cell r="G62">
            <v>71167</v>
          </cell>
          <cell r="H62">
            <v>71402</v>
          </cell>
          <cell r="I62">
            <v>71685</v>
          </cell>
          <cell r="J62">
            <v>72005</v>
          </cell>
          <cell r="K62">
            <v>72341</v>
          </cell>
          <cell r="L62">
            <v>72680</v>
          </cell>
          <cell r="M62">
            <v>73016</v>
          </cell>
          <cell r="N62">
            <v>73353</v>
          </cell>
          <cell r="O62">
            <v>73683</v>
          </cell>
          <cell r="P62">
            <v>74007</v>
          </cell>
          <cell r="Q62">
            <v>74323</v>
          </cell>
          <cell r="R62">
            <v>74626</v>
          </cell>
          <cell r="S62">
            <v>74914</v>
          </cell>
          <cell r="T62">
            <v>75181</v>
          </cell>
          <cell r="U62">
            <v>75425</v>
          </cell>
          <cell r="V62">
            <v>75640</v>
          </cell>
          <cell r="W62" t="str">
            <v>DMA</v>
          </cell>
          <cell r="X62"/>
          <cell r="Y62"/>
          <cell r="Z62"/>
          <cell r="AA62"/>
          <cell r="AB62"/>
          <cell r="AC62"/>
          <cell r="AD62"/>
        </row>
        <row r="63">
          <cell r="A63" t="str">
            <v>Dominican Republic</v>
          </cell>
          <cell r="B63" t="str">
            <v>DOM</v>
          </cell>
          <cell r="C63" t="str">
            <v>DOR</v>
          </cell>
          <cell r="D63" t="str">
            <v>LAC</v>
          </cell>
          <cell r="E63" t="str">
            <v>Peso</v>
          </cell>
          <cell r="F63">
            <v>44</v>
          </cell>
          <cell r="G63">
            <v>9897983</v>
          </cell>
          <cell r="H63">
            <v>10027140</v>
          </cell>
          <cell r="I63">
            <v>10155036</v>
          </cell>
          <cell r="J63">
            <v>10281408</v>
          </cell>
          <cell r="K63">
            <v>10405943</v>
          </cell>
          <cell r="L63">
            <v>10528391</v>
          </cell>
          <cell r="M63">
            <v>10648613</v>
          </cell>
          <cell r="N63">
            <v>10766564</v>
          </cell>
          <cell r="O63">
            <v>10882207</v>
          </cell>
          <cell r="P63">
            <v>10995550</v>
          </cell>
          <cell r="Q63">
            <v>11106596</v>
          </cell>
          <cell r="R63">
            <v>11215293</v>
          </cell>
          <cell r="S63">
            <v>11321594</v>
          </cell>
          <cell r="T63">
            <v>11425506</v>
          </cell>
          <cell r="U63">
            <v>11527055</v>
          </cell>
          <cell r="V63">
            <v>11626263</v>
          </cell>
          <cell r="W63" t="str">
            <v>DOM</v>
          </cell>
          <cell r="X63"/>
          <cell r="Y63"/>
          <cell r="Z63"/>
          <cell r="AA63"/>
          <cell r="AB63"/>
          <cell r="AC63"/>
          <cell r="AD63"/>
        </row>
        <row r="64">
          <cell r="A64" t="str">
            <v>Ecuador</v>
          </cell>
          <cell r="B64" t="str">
            <v>ECU</v>
          </cell>
          <cell r="C64" t="str">
            <v>ECU</v>
          </cell>
          <cell r="D64" t="str">
            <v>LAC</v>
          </cell>
          <cell r="E64" t="str">
            <v>Sucre</v>
          </cell>
          <cell r="F64">
            <v>0</v>
          </cell>
          <cell r="G64">
            <v>14934692</v>
          </cell>
          <cell r="H64">
            <v>15177280</v>
          </cell>
          <cell r="I64">
            <v>15419493</v>
          </cell>
          <cell r="J64">
            <v>15661312</v>
          </cell>
          <cell r="K64">
            <v>15902916</v>
          </cell>
          <cell r="L64">
            <v>16144363</v>
          </cell>
          <cell r="M64">
            <v>16385450</v>
          </cell>
          <cell r="N64">
            <v>16625776</v>
          </cell>
          <cell r="O64">
            <v>16864977</v>
          </cell>
          <cell r="P64">
            <v>17102632</v>
          </cell>
          <cell r="Q64">
            <v>17338395</v>
          </cell>
          <cell r="R64">
            <v>17572037</v>
          </cell>
          <cell r="S64">
            <v>17803435</v>
          </cell>
          <cell r="T64">
            <v>18032483</v>
          </cell>
          <cell r="U64">
            <v>18259125</v>
          </cell>
          <cell r="V64">
            <v>18483290</v>
          </cell>
          <cell r="W64" t="str">
            <v>ECU</v>
          </cell>
          <cell r="X64"/>
          <cell r="Y64"/>
          <cell r="Z64"/>
          <cell r="AA64"/>
          <cell r="AB64"/>
          <cell r="AC64"/>
          <cell r="AD64"/>
        </row>
        <row r="65">
          <cell r="A65" t="str">
            <v>Egypt</v>
          </cell>
          <cell r="B65" t="str">
            <v>EGY</v>
          </cell>
          <cell r="C65" t="str">
            <v>EGY</v>
          </cell>
          <cell r="D65" t="str">
            <v>EMR</v>
          </cell>
          <cell r="E65" t="str">
            <v>Pound</v>
          </cell>
          <cell r="F65">
            <v>7</v>
          </cell>
          <cell r="G65">
            <v>82040994</v>
          </cell>
          <cell r="H65">
            <v>83787634</v>
          </cell>
          <cell r="I65">
            <v>85660902</v>
          </cell>
          <cell r="J65">
            <v>87613909</v>
          </cell>
          <cell r="K65">
            <v>89579670</v>
          </cell>
          <cell r="L65">
            <v>91508084</v>
          </cell>
          <cell r="M65">
            <v>93383574</v>
          </cell>
          <cell r="N65">
            <v>95215102</v>
          </cell>
          <cell r="O65">
            <v>97006920</v>
          </cell>
          <cell r="P65">
            <v>98771387</v>
          </cell>
          <cell r="Q65">
            <v>100517804</v>
          </cell>
          <cell r="R65">
            <v>102244700</v>
          </cell>
          <cell r="S65">
            <v>103947077</v>
          </cell>
          <cell r="T65">
            <v>105627720</v>
          </cell>
          <cell r="U65">
            <v>107290499</v>
          </cell>
          <cell r="V65">
            <v>108939338</v>
          </cell>
          <cell r="W65" t="str">
            <v>EGY</v>
          </cell>
          <cell r="X65"/>
          <cell r="Y65"/>
          <cell r="Z65"/>
          <cell r="AA65"/>
          <cell r="AB65"/>
          <cell r="AC65"/>
          <cell r="AD65"/>
        </row>
        <row r="66">
          <cell r="A66" t="str">
            <v>El Salvador</v>
          </cell>
          <cell r="B66" t="str">
            <v>SLV</v>
          </cell>
          <cell r="C66" t="str">
            <v>ELS</v>
          </cell>
          <cell r="D66" t="str">
            <v>LAC</v>
          </cell>
          <cell r="E66" t="str">
            <v>Colone</v>
          </cell>
          <cell r="F66">
            <v>9</v>
          </cell>
          <cell r="G66">
            <v>6038306</v>
          </cell>
          <cell r="H66">
            <v>6055208</v>
          </cell>
          <cell r="I66">
            <v>6072233</v>
          </cell>
          <cell r="J66">
            <v>6089644</v>
          </cell>
          <cell r="K66">
            <v>6107706</v>
          </cell>
          <cell r="L66">
            <v>6126583</v>
          </cell>
          <cell r="M66">
            <v>6146419</v>
          </cell>
          <cell r="N66">
            <v>6167147</v>
          </cell>
          <cell r="O66">
            <v>6188441</v>
          </cell>
          <cell r="P66">
            <v>6209817</v>
          </cell>
          <cell r="Q66">
            <v>6230899</v>
          </cell>
          <cell r="R66">
            <v>6251567</v>
          </cell>
          <cell r="S66">
            <v>6271824</v>
          </cell>
          <cell r="T66">
            <v>6291550</v>
          </cell>
          <cell r="U66">
            <v>6310643</v>
          </cell>
          <cell r="V66">
            <v>6329014</v>
          </cell>
          <cell r="W66" t="str">
            <v>SLV</v>
          </cell>
          <cell r="X66"/>
          <cell r="Y66"/>
          <cell r="Z66"/>
          <cell r="AA66"/>
          <cell r="AB66"/>
          <cell r="AC66"/>
          <cell r="AD66"/>
        </row>
        <row r="67">
          <cell r="A67" t="str">
            <v>Equatorial Guinea</v>
          </cell>
          <cell r="B67" t="str">
            <v>GNQ</v>
          </cell>
          <cell r="C67" t="str">
            <v>EQG</v>
          </cell>
          <cell r="D67" t="str">
            <v>AFRlow</v>
          </cell>
          <cell r="E67" t="str">
            <v>Franc</v>
          </cell>
          <cell r="F67">
            <v>494</v>
          </cell>
          <cell r="G67">
            <v>728710</v>
          </cell>
          <cell r="H67">
            <v>750918</v>
          </cell>
          <cell r="I67">
            <v>773729</v>
          </cell>
          <cell r="J67">
            <v>797082</v>
          </cell>
          <cell r="K67">
            <v>820885</v>
          </cell>
          <cell r="L67">
            <v>845060</v>
          </cell>
          <cell r="M67">
            <v>869587</v>
          </cell>
          <cell r="N67">
            <v>894464</v>
          </cell>
          <cell r="O67">
            <v>919654</v>
          </cell>
          <cell r="P67">
            <v>945120</v>
          </cell>
          <cell r="Q67">
            <v>970828</v>
          </cell>
          <cell r="R67">
            <v>996757</v>
          </cell>
          <cell r="S67">
            <v>1022889</v>
          </cell>
          <cell r="T67">
            <v>1049211</v>
          </cell>
          <cell r="U67">
            <v>1075712</v>
          </cell>
          <cell r="V67">
            <v>1102382</v>
          </cell>
          <cell r="W67" t="str">
            <v>GNQ</v>
          </cell>
          <cell r="X67"/>
          <cell r="Y67"/>
          <cell r="Z67"/>
          <cell r="AA67"/>
          <cell r="AB67"/>
          <cell r="AC67"/>
          <cell r="AD67"/>
        </row>
        <row r="68">
          <cell r="A68" t="str">
            <v>Eritrea</v>
          </cell>
          <cell r="B68" t="str">
            <v>ERI</v>
          </cell>
          <cell r="C68" t="str">
            <v>ERI</v>
          </cell>
          <cell r="D68" t="str">
            <v>AFRlow</v>
          </cell>
          <cell r="E68" t="str">
            <v>Nakfa</v>
          </cell>
          <cell r="F68">
            <v>15</v>
          </cell>
          <cell r="G68">
            <v>4689664</v>
          </cell>
          <cell r="H68">
            <v>4789568</v>
          </cell>
          <cell r="I68">
            <v>4892233</v>
          </cell>
          <cell r="J68">
            <v>4998824</v>
          </cell>
          <cell r="K68">
            <v>5110444</v>
          </cell>
          <cell r="L68">
            <v>5227791</v>
          </cell>
          <cell r="M68">
            <v>5351680</v>
          </cell>
          <cell r="N68">
            <v>5481906</v>
          </cell>
          <cell r="O68">
            <v>5616801</v>
          </cell>
          <cell r="P68">
            <v>5753934</v>
          </cell>
          <cell r="Q68">
            <v>5891500</v>
          </cell>
          <cell r="R68">
            <v>6028973</v>
          </cell>
          <cell r="S68">
            <v>6166752</v>
          </cell>
          <cell r="T68">
            <v>6305071</v>
          </cell>
          <cell r="U68">
            <v>6444476</v>
          </cell>
          <cell r="V68">
            <v>6585371</v>
          </cell>
          <cell r="W68" t="str">
            <v>ERI</v>
          </cell>
          <cell r="X68"/>
          <cell r="Y68"/>
          <cell r="Z68"/>
          <cell r="AA68"/>
          <cell r="AB68"/>
          <cell r="AC68"/>
          <cell r="AD68"/>
        </row>
        <row r="69">
          <cell r="A69" t="str">
            <v>Estonia</v>
          </cell>
          <cell r="B69" t="str">
            <v>EST</v>
          </cell>
          <cell r="C69" t="str">
            <v>EST</v>
          </cell>
          <cell r="D69" t="str">
            <v>EEUR</v>
          </cell>
          <cell r="E69">
            <v>0</v>
          </cell>
          <cell r="F69">
            <v>0</v>
          </cell>
          <cell r="G69">
            <v>1332089</v>
          </cell>
          <cell r="H69">
            <v>1328068</v>
          </cell>
          <cell r="I69">
            <v>1324040</v>
          </cell>
          <cell r="J69">
            <v>1320050</v>
          </cell>
          <cell r="K69">
            <v>1316203</v>
          </cell>
          <cell r="L69">
            <v>1312558</v>
          </cell>
          <cell r="M69">
            <v>1309104</v>
          </cell>
          <cell r="N69">
            <v>1305755</v>
          </cell>
          <cell r="O69">
            <v>1302401</v>
          </cell>
          <cell r="P69">
            <v>1298904</v>
          </cell>
          <cell r="Q69">
            <v>1295159</v>
          </cell>
          <cell r="R69">
            <v>1291127</v>
          </cell>
          <cell r="S69">
            <v>1286814</v>
          </cell>
          <cell r="T69">
            <v>1282219</v>
          </cell>
          <cell r="U69">
            <v>1277356</v>
          </cell>
          <cell r="V69">
            <v>1272241</v>
          </cell>
          <cell r="W69" t="str">
            <v>EST</v>
          </cell>
          <cell r="X69"/>
          <cell r="Y69"/>
          <cell r="Z69"/>
          <cell r="AA69"/>
          <cell r="AB69"/>
          <cell r="AC69"/>
          <cell r="AD69"/>
        </row>
        <row r="70">
          <cell r="A70" t="str">
            <v>Ethiopia</v>
          </cell>
          <cell r="B70" t="str">
            <v>ETH</v>
          </cell>
          <cell r="C70" t="str">
            <v>ETH</v>
          </cell>
          <cell r="D70" t="str">
            <v>AFRhigh</v>
          </cell>
          <cell r="E70" t="str">
            <v>Birr</v>
          </cell>
          <cell r="F70">
            <v>0</v>
          </cell>
          <cell r="G70">
            <v>87561814</v>
          </cell>
          <cell r="H70">
            <v>89858696</v>
          </cell>
          <cell r="I70">
            <v>92191211</v>
          </cell>
          <cell r="J70">
            <v>94558374</v>
          </cell>
          <cell r="K70">
            <v>96958732</v>
          </cell>
          <cell r="L70">
            <v>99390750</v>
          </cell>
          <cell r="M70">
            <v>101853268</v>
          </cell>
          <cell r="N70">
            <v>104344901</v>
          </cell>
          <cell r="O70">
            <v>106863442</v>
          </cell>
          <cell r="P70">
            <v>109406328</v>
          </cell>
          <cell r="Q70">
            <v>111971051</v>
          </cell>
          <cell r="R70">
            <v>114555595</v>
          </cell>
          <cell r="S70">
            <v>117157895</v>
          </cell>
          <cell r="T70">
            <v>119775259</v>
          </cell>
          <cell r="U70">
            <v>122404797</v>
          </cell>
          <cell r="V70">
            <v>125043752</v>
          </cell>
          <cell r="W70" t="str">
            <v>ETH</v>
          </cell>
          <cell r="X70"/>
          <cell r="Y70"/>
          <cell r="Z70"/>
          <cell r="AA70"/>
          <cell r="AB70"/>
          <cell r="AC70"/>
          <cell r="AD70"/>
        </row>
        <row r="71">
          <cell r="A71" t="str">
            <v>Fiji</v>
          </cell>
          <cell r="B71" t="str">
            <v>FJI</v>
          </cell>
          <cell r="C71" t="str">
            <v>FIJ</v>
          </cell>
          <cell r="D71" t="str">
            <v>WPR</v>
          </cell>
          <cell r="E71">
            <v>0</v>
          </cell>
          <cell r="F71">
            <v>2</v>
          </cell>
          <cell r="G71">
            <v>859952</v>
          </cell>
          <cell r="H71">
            <v>867327</v>
          </cell>
          <cell r="I71">
            <v>874158</v>
          </cell>
          <cell r="J71">
            <v>880487</v>
          </cell>
          <cell r="K71">
            <v>886450</v>
          </cell>
          <cell r="L71">
            <v>892145</v>
          </cell>
          <cell r="M71">
            <v>897537</v>
          </cell>
          <cell r="N71">
            <v>902547</v>
          </cell>
          <cell r="O71">
            <v>907188</v>
          </cell>
          <cell r="P71">
            <v>911485</v>
          </cell>
          <cell r="Q71">
            <v>915460</v>
          </cell>
          <cell r="R71">
            <v>919116</v>
          </cell>
          <cell r="S71">
            <v>922454</v>
          </cell>
          <cell r="T71">
            <v>925498</v>
          </cell>
          <cell r="U71">
            <v>928273</v>
          </cell>
          <cell r="V71">
            <v>930804</v>
          </cell>
          <cell r="W71" t="str">
            <v>FJI</v>
          </cell>
          <cell r="X71"/>
          <cell r="Y71"/>
          <cell r="Z71"/>
          <cell r="AA71"/>
          <cell r="AB71"/>
          <cell r="AC71"/>
          <cell r="AD71"/>
        </row>
        <row r="72">
          <cell r="A72" t="str">
            <v>Finland</v>
          </cell>
          <cell r="B72" t="str">
            <v>FIN</v>
          </cell>
          <cell r="C72" t="str">
            <v>FIN</v>
          </cell>
          <cell r="D72" t="str">
            <v>EME</v>
          </cell>
          <cell r="E72">
            <v>0</v>
          </cell>
          <cell r="F72">
            <v>0</v>
          </cell>
          <cell r="G72">
            <v>5367693</v>
          </cell>
          <cell r="H72">
            <v>5395816</v>
          </cell>
          <cell r="I72">
            <v>5424644</v>
          </cell>
          <cell r="J72">
            <v>5453061</v>
          </cell>
          <cell r="K72">
            <v>5479660</v>
          </cell>
          <cell r="L72">
            <v>5503457</v>
          </cell>
          <cell r="M72">
            <v>5523904</v>
          </cell>
          <cell r="N72">
            <v>5541274</v>
          </cell>
          <cell r="O72">
            <v>5556439</v>
          </cell>
          <cell r="P72">
            <v>5570723</v>
          </cell>
          <cell r="Q72">
            <v>5585091</v>
          </cell>
          <cell r="R72">
            <v>5599775</v>
          </cell>
          <cell r="S72">
            <v>5614461</v>
          </cell>
          <cell r="T72">
            <v>5628916</v>
          </cell>
          <cell r="U72">
            <v>5642725</v>
          </cell>
          <cell r="V72">
            <v>5655578</v>
          </cell>
          <cell r="W72" t="str">
            <v>FIN</v>
          </cell>
          <cell r="X72"/>
          <cell r="Y72"/>
          <cell r="Z72"/>
          <cell r="AA72"/>
          <cell r="AB72"/>
          <cell r="AC72"/>
          <cell r="AD72"/>
        </row>
        <row r="73">
          <cell r="A73" t="str">
            <v>France</v>
          </cell>
          <cell r="B73" t="str">
            <v>FRA</v>
          </cell>
          <cell r="C73" t="str">
            <v>FRA</v>
          </cell>
          <cell r="D73" t="str">
            <v>EME</v>
          </cell>
          <cell r="E73">
            <v>0</v>
          </cell>
          <cell r="F73">
            <v>0</v>
          </cell>
          <cell r="G73">
            <v>62961136</v>
          </cell>
          <cell r="H73">
            <v>63268405</v>
          </cell>
          <cell r="I73">
            <v>63561798</v>
          </cell>
          <cell r="J73">
            <v>63844529</v>
          </cell>
          <cell r="K73">
            <v>64121249</v>
          </cell>
          <cell r="L73">
            <v>64395345</v>
          </cell>
          <cell r="M73">
            <v>64668129</v>
          </cell>
          <cell r="N73">
            <v>64938716</v>
          </cell>
          <cell r="O73">
            <v>65205671</v>
          </cell>
          <cell r="P73">
            <v>65466635</v>
          </cell>
          <cell r="Q73">
            <v>65720030</v>
          </cell>
          <cell r="R73">
            <v>65965557</v>
          </cell>
          <cell r="S73">
            <v>66204287</v>
          </cell>
          <cell r="T73">
            <v>66437637</v>
          </cell>
          <cell r="U73">
            <v>66667591</v>
          </cell>
          <cell r="V73">
            <v>66895621</v>
          </cell>
          <cell r="W73" t="str">
            <v>FRA</v>
          </cell>
          <cell r="X73"/>
          <cell r="Y73"/>
          <cell r="Z73"/>
          <cell r="AA73"/>
          <cell r="AB73"/>
          <cell r="AC73"/>
          <cell r="AD73"/>
        </row>
        <row r="74">
          <cell r="A74" t="str">
            <v>French Polynesia</v>
          </cell>
          <cell r="B74" t="str">
            <v>PYF</v>
          </cell>
          <cell r="C74" t="str">
            <v>FRP</v>
          </cell>
          <cell r="D74" t="str">
            <v>WPR</v>
          </cell>
          <cell r="E74">
            <v>0</v>
          </cell>
          <cell r="F74">
            <v>90</v>
          </cell>
          <cell r="G74">
            <v>268065</v>
          </cell>
          <cell r="H74">
            <v>270862</v>
          </cell>
          <cell r="I74">
            <v>273775</v>
          </cell>
          <cell r="J74">
            <v>276766</v>
          </cell>
          <cell r="K74">
            <v>279781</v>
          </cell>
          <cell r="L74">
            <v>282764</v>
          </cell>
          <cell r="M74">
            <v>285735</v>
          </cell>
          <cell r="N74">
            <v>288685</v>
          </cell>
          <cell r="O74">
            <v>291508</v>
          </cell>
          <cell r="P74">
            <v>294065</v>
          </cell>
          <cell r="Q74">
            <v>296267</v>
          </cell>
          <cell r="R74">
            <v>298055</v>
          </cell>
          <cell r="S74">
            <v>299479</v>
          </cell>
          <cell r="T74">
            <v>300701</v>
          </cell>
          <cell r="U74">
            <v>301951</v>
          </cell>
          <cell r="V74">
            <v>303389</v>
          </cell>
          <cell r="W74" t="str">
            <v>PYF</v>
          </cell>
          <cell r="X74"/>
          <cell r="Y74"/>
          <cell r="Z74"/>
          <cell r="AA74"/>
          <cell r="AB74"/>
          <cell r="AC74"/>
          <cell r="AD74"/>
        </row>
        <row r="75">
          <cell r="A75" t="str">
            <v>Gabon</v>
          </cell>
          <cell r="B75" t="str">
            <v>GAB</v>
          </cell>
          <cell r="C75" t="str">
            <v>GAB</v>
          </cell>
          <cell r="D75" t="str">
            <v>AFRhigh</v>
          </cell>
          <cell r="E75" t="str">
            <v>Franc</v>
          </cell>
          <cell r="F75">
            <v>494</v>
          </cell>
          <cell r="G75">
            <v>1541936</v>
          </cell>
          <cell r="H75">
            <v>1577298</v>
          </cell>
          <cell r="I75">
            <v>1613489</v>
          </cell>
          <cell r="J75">
            <v>1650351</v>
          </cell>
          <cell r="K75">
            <v>1687673</v>
          </cell>
          <cell r="L75">
            <v>1725292</v>
          </cell>
          <cell r="M75">
            <v>1763142</v>
          </cell>
          <cell r="N75">
            <v>1801232</v>
          </cell>
          <cell r="O75">
            <v>1839575</v>
          </cell>
          <cell r="P75">
            <v>1878212</v>
          </cell>
          <cell r="Q75">
            <v>1917169</v>
          </cell>
          <cell r="R75">
            <v>1956430</v>
          </cell>
          <cell r="S75">
            <v>1995962</v>
          </cell>
          <cell r="T75">
            <v>2035753</v>
          </cell>
          <cell r="U75">
            <v>2075797</v>
          </cell>
          <cell r="V75">
            <v>2116081</v>
          </cell>
          <cell r="W75" t="str">
            <v>GAB</v>
          </cell>
          <cell r="X75"/>
          <cell r="Y75"/>
          <cell r="Z75"/>
          <cell r="AA75"/>
          <cell r="AB75"/>
          <cell r="AC75"/>
          <cell r="AD75"/>
        </row>
        <row r="76">
          <cell r="A76" t="str">
            <v>Gambia</v>
          </cell>
          <cell r="B76" t="str">
            <v>GMB</v>
          </cell>
          <cell r="C76" t="str">
            <v>GAM</v>
          </cell>
          <cell r="D76" t="str">
            <v>AFRlow</v>
          </cell>
          <cell r="E76" t="str">
            <v>Dalasi</v>
          </cell>
          <cell r="F76">
            <v>42</v>
          </cell>
          <cell r="G76">
            <v>1693002</v>
          </cell>
          <cell r="H76">
            <v>1749099</v>
          </cell>
          <cell r="I76">
            <v>1807108</v>
          </cell>
          <cell r="J76">
            <v>1866878</v>
          </cell>
          <cell r="K76">
            <v>1928201</v>
          </cell>
          <cell r="L76">
            <v>1990924</v>
          </cell>
          <cell r="M76">
            <v>2054986</v>
          </cell>
          <cell r="N76">
            <v>2120418</v>
          </cell>
          <cell r="O76">
            <v>2187265</v>
          </cell>
          <cell r="P76">
            <v>2255608</v>
          </cell>
          <cell r="Q76">
            <v>2325503</v>
          </cell>
          <cell r="R76">
            <v>2396944</v>
          </cell>
          <cell r="S76">
            <v>2469893</v>
          </cell>
          <cell r="T76">
            <v>2544326</v>
          </cell>
          <cell r="U76">
            <v>2620216</v>
          </cell>
          <cell r="V76">
            <v>2697535</v>
          </cell>
          <cell r="W76" t="str">
            <v>GMB</v>
          </cell>
          <cell r="X76"/>
          <cell r="Y76"/>
          <cell r="Z76"/>
          <cell r="AA76"/>
          <cell r="AB76"/>
          <cell r="AC76"/>
          <cell r="AD76"/>
        </row>
        <row r="77">
          <cell r="A77" t="str">
            <v>Georgia</v>
          </cell>
          <cell r="B77" t="str">
            <v>GEO</v>
          </cell>
          <cell r="C77" t="str">
            <v>GEO</v>
          </cell>
          <cell r="D77" t="str">
            <v>EEUR</v>
          </cell>
          <cell r="E77" t="str">
            <v>Lari</v>
          </cell>
          <cell r="F77">
            <v>2</v>
          </cell>
          <cell r="G77">
            <v>4250132</v>
          </cell>
          <cell r="H77">
            <v>4196401</v>
          </cell>
          <cell r="I77">
            <v>4138920</v>
          </cell>
          <cell r="J77">
            <v>4082727</v>
          </cell>
          <cell r="K77">
            <v>4034774</v>
          </cell>
          <cell r="L77">
            <v>3999812</v>
          </cell>
          <cell r="M77">
            <v>3979781</v>
          </cell>
          <cell r="N77">
            <v>3972532</v>
          </cell>
          <cell r="O77">
            <v>3973681</v>
          </cell>
          <cell r="P77">
            <v>3976777</v>
          </cell>
          <cell r="Q77">
            <v>3977028</v>
          </cell>
          <cell r="R77">
            <v>3973030</v>
          </cell>
          <cell r="S77">
            <v>3965842</v>
          </cell>
          <cell r="T77">
            <v>3956089</v>
          </cell>
          <cell r="U77">
            <v>3945204</v>
          </cell>
          <cell r="V77">
            <v>3934208</v>
          </cell>
          <cell r="W77" t="str">
            <v>GEO</v>
          </cell>
          <cell r="X77"/>
          <cell r="Y77"/>
          <cell r="Z77"/>
          <cell r="AA77"/>
          <cell r="AB77"/>
          <cell r="AC77"/>
          <cell r="AD77"/>
        </row>
        <row r="78">
          <cell r="A78" t="str">
            <v>Germany</v>
          </cell>
          <cell r="B78" t="str">
            <v>DEU</v>
          </cell>
          <cell r="C78" t="str">
            <v>DEU</v>
          </cell>
          <cell r="D78" t="str">
            <v>EME</v>
          </cell>
          <cell r="E78">
            <v>0</v>
          </cell>
          <cell r="F78">
            <v>0</v>
          </cell>
          <cell r="G78">
            <v>80435307</v>
          </cell>
          <cell r="H78">
            <v>80424665</v>
          </cell>
          <cell r="I78">
            <v>80477952</v>
          </cell>
          <cell r="J78">
            <v>80565861</v>
          </cell>
          <cell r="K78">
            <v>80646262</v>
          </cell>
          <cell r="L78">
            <v>80688545</v>
          </cell>
          <cell r="M78">
            <v>80682351</v>
          </cell>
          <cell r="N78">
            <v>80636124</v>
          </cell>
          <cell r="O78">
            <v>80560850</v>
          </cell>
          <cell r="P78">
            <v>80475076</v>
          </cell>
          <cell r="Q78">
            <v>80392216</v>
          </cell>
          <cell r="R78">
            <v>80314086</v>
          </cell>
          <cell r="S78">
            <v>80235052</v>
          </cell>
          <cell r="T78">
            <v>80152495</v>
          </cell>
          <cell r="U78">
            <v>80061922</v>
          </cell>
          <cell r="V78">
            <v>79960064</v>
          </cell>
          <cell r="W78" t="str">
            <v>DEU</v>
          </cell>
          <cell r="X78"/>
          <cell r="Y78"/>
          <cell r="Z78"/>
          <cell r="AA78"/>
          <cell r="AB78"/>
          <cell r="AC78"/>
          <cell r="AD78"/>
        </row>
        <row r="79">
          <cell r="A79" t="str">
            <v>Ghana</v>
          </cell>
          <cell r="B79" t="str">
            <v>GHA</v>
          </cell>
          <cell r="C79" t="str">
            <v>GHA</v>
          </cell>
          <cell r="D79" t="str">
            <v>AFRlow</v>
          </cell>
          <cell r="E79" t="str">
            <v>Cedi</v>
          </cell>
          <cell r="F79">
            <v>0</v>
          </cell>
          <cell r="G79">
            <v>24317734</v>
          </cell>
          <cell r="H79">
            <v>24928503</v>
          </cell>
          <cell r="I79">
            <v>25544565</v>
          </cell>
          <cell r="J79">
            <v>26164432</v>
          </cell>
          <cell r="K79">
            <v>26786598</v>
          </cell>
          <cell r="L79">
            <v>27409893</v>
          </cell>
          <cell r="M79">
            <v>28033375</v>
          </cell>
          <cell r="N79">
            <v>28656723</v>
          </cell>
          <cell r="O79">
            <v>29280235</v>
          </cell>
          <cell r="P79">
            <v>29904632</v>
          </cell>
          <cell r="Q79">
            <v>30530449</v>
          </cell>
          <cell r="R79">
            <v>31157668</v>
          </cell>
          <cell r="S79">
            <v>31786017</v>
          </cell>
          <cell r="T79">
            <v>32415534</v>
          </cell>
          <cell r="U79">
            <v>33046259</v>
          </cell>
          <cell r="V79">
            <v>33678283</v>
          </cell>
          <cell r="W79" t="str">
            <v>GHA</v>
          </cell>
          <cell r="X79"/>
          <cell r="Y79"/>
          <cell r="Z79"/>
          <cell r="AA79"/>
          <cell r="AB79"/>
          <cell r="AC79"/>
          <cell r="AD79"/>
        </row>
        <row r="80">
          <cell r="A80" t="str">
            <v>Greece</v>
          </cell>
          <cell r="B80" t="str">
            <v>GRC</v>
          </cell>
          <cell r="C80" t="str">
            <v>GRE</v>
          </cell>
          <cell r="D80" t="str">
            <v>EME</v>
          </cell>
          <cell r="E80">
            <v>0</v>
          </cell>
          <cell r="F80">
            <v>0</v>
          </cell>
          <cell r="G80">
            <v>11177509</v>
          </cell>
          <cell r="H80">
            <v>11153047</v>
          </cell>
          <cell r="I80">
            <v>11109662</v>
          </cell>
          <cell r="J80">
            <v>11055164</v>
          </cell>
          <cell r="K80">
            <v>11000777</v>
          </cell>
          <cell r="L80">
            <v>10954617</v>
          </cell>
          <cell r="M80">
            <v>10919459</v>
          </cell>
          <cell r="N80">
            <v>10892931</v>
          </cell>
          <cell r="O80">
            <v>10871762</v>
          </cell>
          <cell r="P80">
            <v>10850557</v>
          </cell>
          <cell r="Q80">
            <v>10825413</v>
          </cell>
          <cell r="R80">
            <v>10795720</v>
          </cell>
          <cell r="S80">
            <v>10763033</v>
          </cell>
          <cell r="T80">
            <v>10728143</v>
          </cell>
          <cell r="U80">
            <v>10692415</v>
          </cell>
          <cell r="V80">
            <v>10656863</v>
          </cell>
          <cell r="W80" t="str">
            <v>GRC</v>
          </cell>
          <cell r="X80"/>
          <cell r="Y80"/>
          <cell r="Z80"/>
          <cell r="AA80"/>
          <cell r="AB80"/>
          <cell r="AC80"/>
          <cell r="AD80"/>
        </row>
        <row r="81">
          <cell r="A81" t="str">
            <v>Grenada</v>
          </cell>
          <cell r="B81" t="str">
            <v>GRD</v>
          </cell>
          <cell r="C81" t="str">
            <v>GRA</v>
          </cell>
          <cell r="D81" t="str">
            <v>LAC</v>
          </cell>
          <cell r="E81" t="str">
            <v>E. Caribbean Dollar</v>
          </cell>
          <cell r="F81">
            <v>3</v>
          </cell>
          <cell r="G81">
            <v>104677</v>
          </cell>
          <cell r="H81">
            <v>105070</v>
          </cell>
          <cell r="I81">
            <v>105476</v>
          </cell>
          <cell r="J81">
            <v>105902</v>
          </cell>
          <cell r="K81">
            <v>106349</v>
          </cell>
          <cell r="L81">
            <v>106825</v>
          </cell>
          <cell r="M81">
            <v>107327</v>
          </cell>
          <cell r="N81">
            <v>107850</v>
          </cell>
          <cell r="O81">
            <v>108379</v>
          </cell>
          <cell r="P81">
            <v>108896</v>
          </cell>
          <cell r="Q81">
            <v>109387</v>
          </cell>
          <cell r="R81">
            <v>109847</v>
          </cell>
          <cell r="S81">
            <v>110276</v>
          </cell>
          <cell r="T81">
            <v>110667</v>
          </cell>
          <cell r="U81">
            <v>111016</v>
          </cell>
          <cell r="V81">
            <v>111318</v>
          </cell>
          <cell r="W81" t="str">
            <v>GRD</v>
          </cell>
          <cell r="X81"/>
          <cell r="Y81"/>
          <cell r="Z81"/>
          <cell r="AA81"/>
          <cell r="AB81"/>
          <cell r="AC81"/>
          <cell r="AD81"/>
        </row>
        <row r="82">
          <cell r="A82" t="str">
            <v>Guam</v>
          </cell>
          <cell r="B82" t="str">
            <v>GUM</v>
          </cell>
          <cell r="C82" t="str">
            <v>GUM</v>
          </cell>
          <cell r="D82" t="str">
            <v>WPR</v>
          </cell>
          <cell r="E82">
            <v>0</v>
          </cell>
          <cell r="F82">
            <v>0</v>
          </cell>
          <cell r="G82">
            <v>159440</v>
          </cell>
          <cell r="H82">
            <v>160858</v>
          </cell>
          <cell r="I82">
            <v>162807</v>
          </cell>
          <cell r="J82">
            <v>165121</v>
          </cell>
          <cell r="K82">
            <v>167543</v>
          </cell>
          <cell r="L82">
            <v>169885</v>
          </cell>
          <cell r="M82">
            <v>172094</v>
          </cell>
          <cell r="N82">
            <v>174214</v>
          </cell>
          <cell r="O82">
            <v>176268</v>
          </cell>
          <cell r="P82">
            <v>178309</v>
          </cell>
          <cell r="Q82">
            <v>180375</v>
          </cell>
          <cell r="R82">
            <v>182458</v>
          </cell>
          <cell r="S82">
            <v>184530</v>
          </cell>
          <cell r="T82">
            <v>186586</v>
          </cell>
          <cell r="U82">
            <v>188622</v>
          </cell>
          <cell r="V82">
            <v>190633</v>
          </cell>
          <cell r="W82" t="str">
            <v>GUM</v>
          </cell>
          <cell r="X82"/>
          <cell r="Y82"/>
          <cell r="Z82"/>
          <cell r="AA82"/>
          <cell r="AB82"/>
          <cell r="AC82"/>
          <cell r="AD82"/>
        </row>
        <row r="83">
          <cell r="A83" t="str">
            <v>Guatemala</v>
          </cell>
          <cell r="B83" t="str">
            <v>GTM</v>
          </cell>
          <cell r="C83" t="str">
            <v>GUT</v>
          </cell>
          <cell r="D83" t="str">
            <v>LAC</v>
          </cell>
          <cell r="E83" t="str">
            <v>Quetzala</v>
          </cell>
          <cell r="F83">
            <v>8</v>
          </cell>
          <cell r="G83">
            <v>14732261</v>
          </cell>
          <cell r="H83">
            <v>15049280</v>
          </cell>
          <cell r="I83">
            <v>15368759</v>
          </cell>
          <cell r="J83">
            <v>15690793</v>
          </cell>
          <cell r="K83">
            <v>16015494</v>
          </cell>
          <cell r="L83">
            <v>16342897</v>
          </cell>
          <cell r="M83">
            <v>16672956</v>
          </cell>
          <cell r="N83">
            <v>17005497</v>
          </cell>
          <cell r="O83">
            <v>17340239</v>
          </cell>
          <cell r="P83">
            <v>17676825</v>
          </cell>
          <cell r="Q83">
            <v>18014921</v>
          </cell>
          <cell r="R83">
            <v>18354339</v>
          </cell>
          <cell r="S83">
            <v>18694896</v>
          </cell>
          <cell r="T83">
            <v>19036261</v>
          </cell>
          <cell r="U83">
            <v>19378066</v>
          </cell>
          <cell r="V83">
            <v>19719989</v>
          </cell>
          <cell r="W83" t="str">
            <v>GTM</v>
          </cell>
          <cell r="X83"/>
          <cell r="Y83"/>
          <cell r="Z83"/>
          <cell r="AA83"/>
          <cell r="AB83"/>
          <cell r="AC83"/>
          <cell r="AD83"/>
        </row>
        <row r="84">
          <cell r="A84" t="str">
            <v>Guinea</v>
          </cell>
          <cell r="B84" t="str">
            <v>GIN</v>
          </cell>
          <cell r="C84" t="str">
            <v>GUI</v>
          </cell>
          <cell r="D84" t="str">
            <v>AFRlow</v>
          </cell>
          <cell r="E84" t="str">
            <v>Franc</v>
          </cell>
          <cell r="F84">
            <v>7014</v>
          </cell>
          <cell r="G84">
            <v>11012406</v>
          </cell>
          <cell r="H84">
            <v>11316351</v>
          </cell>
          <cell r="I84">
            <v>11628767</v>
          </cell>
          <cell r="J84">
            <v>11948726</v>
          </cell>
          <cell r="K84">
            <v>12275527</v>
          </cell>
          <cell r="L84">
            <v>12608590</v>
          </cell>
          <cell r="M84">
            <v>12947122</v>
          </cell>
          <cell r="N84">
            <v>13290659</v>
          </cell>
          <cell r="O84">
            <v>13639439</v>
          </cell>
          <cell r="P84">
            <v>13994033</v>
          </cell>
          <cell r="Q84">
            <v>14354833</v>
          </cell>
          <cell r="R84">
            <v>14721731</v>
          </cell>
          <cell r="S84">
            <v>15094403</v>
          </cell>
          <cell r="T84">
            <v>15472794</v>
          </cell>
          <cell r="U84">
            <v>15856843</v>
          </cell>
          <cell r="V84">
            <v>16246484</v>
          </cell>
          <cell r="W84" t="str">
            <v>GIN</v>
          </cell>
          <cell r="X84"/>
          <cell r="Y84"/>
          <cell r="Z84"/>
          <cell r="AA84"/>
          <cell r="AB84"/>
          <cell r="AC84"/>
          <cell r="AD84"/>
        </row>
        <row r="85">
          <cell r="A85" t="str">
            <v>Guinea-Bissau</v>
          </cell>
          <cell r="B85" t="str">
            <v>GNB</v>
          </cell>
          <cell r="C85" t="str">
            <v>GUB</v>
          </cell>
          <cell r="D85" t="str">
            <v>AFRlow</v>
          </cell>
          <cell r="E85" t="str">
            <v>Franc</v>
          </cell>
          <cell r="F85">
            <v>494</v>
          </cell>
          <cell r="G85">
            <v>1634196</v>
          </cell>
          <cell r="H85">
            <v>1673509</v>
          </cell>
          <cell r="I85">
            <v>1714620</v>
          </cell>
          <cell r="J85">
            <v>1757138</v>
          </cell>
          <cell r="K85">
            <v>1800513</v>
          </cell>
          <cell r="L85">
            <v>1844325</v>
          </cell>
          <cell r="M85">
            <v>1888429</v>
          </cell>
          <cell r="N85">
            <v>1932871</v>
          </cell>
          <cell r="O85">
            <v>1977645</v>
          </cell>
          <cell r="P85">
            <v>2022798</v>
          </cell>
          <cell r="Q85">
            <v>2068363</v>
          </cell>
          <cell r="R85">
            <v>2114298</v>
          </cell>
          <cell r="S85">
            <v>2160536</v>
          </cell>
          <cell r="T85">
            <v>2207061</v>
          </cell>
          <cell r="U85">
            <v>2253865</v>
          </cell>
          <cell r="V85">
            <v>2300944</v>
          </cell>
          <cell r="W85" t="str">
            <v>GNB</v>
          </cell>
          <cell r="X85"/>
          <cell r="Y85"/>
          <cell r="Z85"/>
          <cell r="AA85"/>
          <cell r="AB85"/>
          <cell r="AC85"/>
          <cell r="AD85"/>
        </row>
        <row r="86">
          <cell r="A86" t="str">
            <v>Guyana</v>
          </cell>
          <cell r="B86" t="str">
            <v>GUY</v>
          </cell>
          <cell r="C86" t="str">
            <v>GUY</v>
          </cell>
          <cell r="D86" t="str">
            <v>LAC</v>
          </cell>
          <cell r="E86" t="str">
            <v>Guyana Dollar</v>
          </cell>
          <cell r="F86">
            <v>206</v>
          </cell>
          <cell r="G86">
            <v>753362</v>
          </cell>
          <cell r="H86">
            <v>755883</v>
          </cell>
          <cell r="I86">
            <v>758410</v>
          </cell>
          <cell r="J86">
            <v>761033</v>
          </cell>
          <cell r="K86">
            <v>763893</v>
          </cell>
          <cell r="L86">
            <v>767085</v>
          </cell>
          <cell r="M86">
            <v>770610</v>
          </cell>
          <cell r="N86">
            <v>774407</v>
          </cell>
          <cell r="O86">
            <v>778420</v>
          </cell>
          <cell r="P86">
            <v>782572</v>
          </cell>
          <cell r="Q86">
            <v>786793</v>
          </cell>
          <cell r="R86">
            <v>791058</v>
          </cell>
          <cell r="S86">
            <v>795336</v>
          </cell>
          <cell r="T86">
            <v>799534</v>
          </cell>
          <cell r="U86">
            <v>803544</v>
          </cell>
          <cell r="V86">
            <v>807277</v>
          </cell>
          <cell r="W86" t="str">
            <v>GUY</v>
          </cell>
          <cell r="X86"/>
          <cell r="Y86"/>
          <cell r="Z86"/>
          <cell r="AA86"/>
          <cell r="AB86"/>
          <cell r="AC86"/>
          <cell r="AD86"/>
        </row>
        <row r="87">
          <cell r="A87" t="str">
            <v>Haiti</v>
          </cell>
          <cell r="B87" t="str">
            <v>HTI</v>
          </cell>
          <cell r="C87" t="str">
            <v>HAI</v>
          </cell>
          <cell r="D87" t="str">
            <v>LAC</v>
          </cell>
          <cell r="E87" t="str">
            <v>Gourde</v>
          </cell>
          <cell r="F87">
            <v>45</v>
          </cell>
          <cell r="G87">
            <v>9999617</v>
          </cell>
          <cell r="H87">
            <v>10144890</v>
          </cell>
          <cell r="I87">
            <v>10288828</v>
          </cell>
          <cell r="J87">
            <v>10431249</v>
          </cell>
          <cell r="K87">
            <v>10572029</v>
          </cell>
          <cell r="L87">
            <v>10711067</v>
          </cell>
          <cell r="M87">
            <v>10848175</v>
          </cell>
          <cell r="N87">
            <v>10983274</v>
          </cell>
          <cell r="O87">
            <v>11116513</v>
          </cell>
          <cell r="P87">
            <v>11248145</v>
          </cell>
          <cell r="Q87">
            <v>11378336</v>
          </cell>
          <cell r="R87">
            <v>11507087</v>
          </cell>
          <cell r="S87">
            <v>11634262</v>
          </cell>
          <cell r="T87">
            <v>11759713</v>
          </cell>
          <cell r="U87">
            <v>11883242</v>
          </cell>
          <cell r="V87">
            <v>12004684</v>
          </cell>
          <cell r="W87" t="str">
            <v>HTI</v>
          </cell>
          <cell r="X87"/>
          <cell r="Y87"/>
          <cell r="Z87"/>
          <cell r="AA87"/>
          <cell r="AB87"/>
          <cell r="AC87"/>
          <cell r="AD87"/>
        </row>
        <row r="88">
          <cell r="A88" t="str">
            <v>Honduras</v>
          </cell>
          <cell r="B88" t="str">
            <v>HND</v>
          </cell>
          <cell r="C88" t="str">
            <v>HON</v>
          </cell>
          <cell r="D88" t="str">
            <v>LAC</v>
          </cell>
          <cell r="E88" t="str">
            <v>Lempira</v>
          </cell>
          <cell r="F88">
            <v>0</v>
          </cell>
          <cell r="G88">
            <v>7503875</v>
          </cell>
          <cell r="H88">
            <v>7621414</v>
          </cell>
          <cell r="I88">
            <v>7736131</v>
          </cell>
          <cell r="J88">
            <v>7849059</v>
          </cell>
          <cell r="K88">
            <v>7961680</v>
          </cell>
          <cell r="L88">
            <v>8075060</v>
          </cell>
          <cell r="M88">
            <v>8189501</v>
          </cell>
          <cell r="N88">
            <v>8304677</v>
          </cell>
          <cell r="O88">
            <v>8420268</v>
          </cell>
          <cell r="P88">
            <v>8535712</v>
          </cell>
          <cell r="Q88">
            <v>8650558</v>
          </cell>
          <cell r="R88">
            <v>8764716</v>
          </cell>
          <cell r="S88">
            <v>8878208</v>
          </cell>
          <cell r="T88">
            <v>8990807</v>
          </cell>
          <cell r="U88">
            <v>9102258</v>
          </cell>
          <cell r="V88">
            <v>9212333</v>
          </cell>
          <cell r="W88" t="str">
            <v>HND</v>
          </cell>
          <cell r="X88"/>
          <cell r="Y88"/>
          <cell r="Z88"/>
          <cell r="AA88"/>
          <cell r="AB88"/>
          <cell r="AC88"/>
          <cell r="AD88"/>
        </row>
        <row r="89">
          <cell r="A89" t="str">
            <v>Hungary</v>
          </cell>
          <cell r="B89" t="str">
            <v>HUN</v>
          </cell>
          <cell r="C89" t="str">
            <v>HUN</v>
          </cell>
          <cell r="D89" t="str">
            <v>CEUR</v>
          </cell>
          <cell r="E89">
            <v>0</v>
          </cell>
          <cell r="F89">
            <v>233</v>
          </cell>
          <cell r="G89">
            <v>10014633</v>
          </cell>
          <cell r="H89">
            <v>9988846</v>
          </cell>
          <cell r="I89">
            <v>9958334</v>
          </cell>
          <cell r="J89">
            <v>9924507</v>
          </cell>
          <cell r="K89">
            <v>9889540</v>
          </cell>
          <cell r="L89">
            <v>9855023</v>
          </cell>
          <cell r="M89">
            <v>9821318</v>
          </cell>
          <cell r="N89">
            <v>9787905</v>
          </cell>
          <cell r="O89">
            <v>9754429</v>
          </cell>
          <cell r="P89">
            <v>9720262</v>
          </cell>
          <cell r="Q89">
            <v>9684938</v>
          </cell>
          <cell r="R89">
            <v>9648428</v>
          </cell>
          <cell r="S89">
            <v>9610916</v>
          </cell>
          <cell r="T89">
            <v>9572397</v>
          </cell>
          <cell r="U89">
            <v>9532893</v>
          </cell>
          <cell r="V89">
            <v>9492416</v>
          </cell>
          <cell r="W89" t="str">
            <v>HUN</v>
          </cell>
          <cell r="X89"/>
          <cell r="Y89"/>
          <cell r="Z89"/>
          <cell r="AA89"/>
          <cell r="AB89"/>
          <cell r="AC89"/>
          <cell r="AD89"/>
        </row>
        <row r="90">
          <cell r="A90" t="str">
            <v>Iceland</v>
          </cell>
          <cell r="B90" t="str">
            <v>ISL</v>
          </cell>
          <cell r="C90" t="str">
            <v>ICE</v>
          </cell>
          <cell r="D90" t="str">
            <v>EME</v>
          </cell>
          <cell r="E90">
            <v>0</v>
          </cell>
          <cell r="F90">
            <v>117</v>
          </cell>
          <cell r="G90">
            <v>318042</v>
          </cell>
          <cell r="H90">
            <v>321030</v>
          </cell>
          <cell r="I90">
            <v>323407</v>
          </cell>
          <cell r="J90">
            <v>325392</v>
          </cell>
          <cell r="K90">
            <v>327318</v>
          </cell>
          <cell r="L90">
            <v>329425</v>
          </cell>
          <cell r="M90">
            <v>331778</v>
          </cell>
          <cell r="N90">
            <v>334303</v>
          </cell>
          <cell r="O90">
            <v>336938</v>
          </cell>
          <cell r="P90">
            <v>339576</v>
          </cell>
          <cell r="Q90">
            <v>342141</v>
          </cell>
          <cell r="R90">
            <v>344623</v>
          </cell>
          <cell r="S90">
            <v>347052</v>
          </cell>
          <cell r="T90">
            <v>349427</v>
          </cell>
          <cell r="U90">
            <v>351751</v>
          </cell>
          <cell r="V90">
            <v>354026</v>
          </cell>
          <cell r="W90" t="str">
            <v>ISL</v>
          </cell>
          <cell r="X90"/>
          <cell r="Y90"/>
          <cell r="Z90"/>
          <cell r="AA90"/>
          <cell r="AB90"/>
          <cell r="AC90"/>
          <cell r="AD90"/>
        </row>
        <row r="91">
          <cell r="A91" t="str">
            <v>India</v>
          </cell>
          <cell r="B91" t="str">
            <v>IND</v>
          </cell>
          <cell r="C91" t="str">
            <v>IND</v>
          </cell>
          <cell r="D91" t="str">
            <v>SEAR</v>
          </cell>
          <cell r="E91" t="str">
            <v>Rupee</v>
          </cell>
          <cell r="F91">
            <v>61</v>
          </cell>
          <cell r="G91">
            <v>1230984504</v>
          </cell>
          <cell r="H91">
            <v>1247446011</v>
          </cell>
          <cell r="I91">
            <v>1263589639</v>
          </cell>
          <cell r="J91">
            <v>1279498874</v>
          </cell>
          <cell r="K91">
            <v>1295291543</v>
          </cell>
          <cell r="L91">
            <v>1311050527</v>
          </cell>
          <cell r="M91">
            <v>1326801576</v>
          </cell>
          <cell r="N91">
            <v>1342512706</v>
          </cell>
          <cell r="O91">
            <v>1358137719</v>
          </cell>
          <cell r="P91">
            <v>1373605069</v>
          </cell>
          <cell r="Q91">
            <v>1388858917</v>
          </cell>
          <cell r="R91">
            <v>1403882689</v>
          </cell>
          <cell r="S91">
            <v>1418680921</v>
          </cell>
          <cell r="T91">
            <v>1433242673</v>
          </cell>
          <cell r="U91">
            <v>1447560464</v>
          </cell>
          <cell r="V91">
            <v>1461625234</v>
          </cell>
          <cell r="W91" t="str">
            <v>IND</v>
          </cell>
          <cell r="X91"/>
          <cell r="Y91"/>
          <cell r="Z91"/>
          <cell r="AA91"/>
          <cell r="AB91"/>
          <cell r="AC91"/>
          <cell r="AD91"/>
        </row>
        <row r="92">
          <cell r="A92" t="str">
            <v>Indonesia</v>
          </cell>
          <cell r="B92" t="str">
            <v>IDN</v>
          </cell>
          <cell r="C92" t="str">
            <v>INO</v>
          </cell>
          <cell r="D92" t="str">
            <v>SEAR</v>
          </cell>
          <cell r="E92" t="str">
            <v>Rupiah</v>
          </cell>
          <cell r="F92">
            <v>11865</v>
          </cell>
          <cell r="G92">
            <v>241613126</v>
          </cell>
          <cell r="H92">
            <v>244808254</v>
          </cell>
          <cell r="I92">
            <v>248037853</v>
          </cell>
          <cell r="J92">
            <v>251268276</v>
          </cell>
          <cell r="K92">
            <v>254454778</v>
          </cell>
          <cell r="L92">
            <v>257563815</v>
          </cell>
          <cell r="M92">
            <v>260581100</v>
          </cell>
          <cell r="N92">
            <v>263510146</v>
          </cell>
          <cell r="O92">
            <v>266357298</v>
          </cell>
          <cell r="P92">
            <v>269136421</v>
          </cell>
          <cell r="Q92">
            <v>271857420</v>
          </cell>
          <cell r="R92">
            <v>274519213</v>
          </cell>
          <cell r="S92">
            <v>277115590</v>
          </cell>
          <cell r="T92">
            <v>279645896</v>
          </cell>
          <cell r="U92">
            <v>282109216</v>
          </cell>
          <cell r="V92">
            <v>284504973</v>
          </cell>
          <cell r="W92" t="str">
            <v>IDN</v>
          </cell>
          <cell r="X92"/>
          <cell r="Y92"/>
          <cell r="Z92"/>
          <cell r="AA92"/>
          <cell r="AB92"/>
          <cell r="AC92"/>
          <cell r="AD92"/>
        </row>
        <row r="93">
          <cell r="A93" t="str">
            <v>Iran (Islamic Republic of)</v>
          </cell>
          <cell r="B93" t="str">
            <v>IRN</v>
          </cell>
          <cell r="C93" t="str">
            <v xml:space="preserve"> </v>
          </cell>
          <cell r="D93" t="str">
            <v>EMR</v>
          </cell>
          <cell r="E93" t="str">
            <v xml:space="preserve"> </v>
          </cell>
          <cell r="F93">
            <v>25942</v>
          </cell>
          <cell r="G93">
            <v>74253373</v>
          </cell>
          <cell r="H93">
            <v>75184322</v>
          </cell>
          <cell r="I93">
            <v>76156975</v>
          </cell>
          <cell r="J93">
            <v>77152445</v>
          </cell>
          <cell r="K93">
            <v>78143644</v>
          </cell>
          <cell r="L93">
            <v>79109272</v>
          </cell>
          <cell r="M93">
            <v>80043146</v>
          </cell>
          <cell r="N93">
            <v>80945718</v>
          </cell>
          <cell r="O93">
            <v>81810283</v>
          </cell>
          <cell r="P93">
            <v>82630945</v>
          </cell>
          <cell r="Q93">
            <v>83403280</v>
          </cell>
          <cell r="R93">
            <v>84123607</v>
          </cell>
          <cell r="S93">
            <v>84790653</v>
          </cell>
          <cell r="T93">
            <v>85406099</v>
          </cell>
          <cell r="U93">
            <v>85973595</v>
          </cell>
          <cell r="V93">
            <v>86496638</v>
          </cell>
          <cell r="W93" t="str">
            <v>IRN</v>
          </cell>
          <cell r="X93"/>
          <cell r="Y93"/>
          <cell r="Z93"/>
          <cell r="AA93"/>
          <cell r="AB93"/>
          <cell r="AC93"/>
          <cell r="AD93"/>
        </row>
        <row r="94">
          <cell r="A94" t="str">
            <v>Iraq</v>
          </cell>
          <cell r="B94" t="str">
            <v>IRQ</v>
          </cell>
          <cell r="C94" t="str">
            <v>IRQ</v>
          </cell>
          <cell r="D94" t="str">
            <v>EMR</v>
          </cell>
          <cell r="E94" t="str">
            <v>Dinar</v>
          </cell>
          <cell r="F94">
            <v>1166</v>
          </cell>
          <cell r="G94">
            <v>30868156</v>
          </cell>
          <cell r="H94">
            <v>31867758</v>
          </cell>
          <cell r="I94">
            <v>32957622</v>
          </cell>
          <cell r="J94">
            <v>34107366</v>
          </cell>
          <cell r="K94">
            <v>35273293</v>
          </cell>
          <cell r="L94">
            <v>36423395</v>
          </cell>
          <cell r="M94">
            <v>37547686</v>
          </cell>
          <cell r="N94">
            <v>38654287</v>
          </cell>
          <cell r="O94">
            <v>39751312</v>
          </cell>
          <cell r="P94">
            <v>40853637</v>
          </cell>
          <cell r="Q94">
            <v>41972388</v>
          </cell>
          <cell r="R94">
            <v>43108258</v>
          </cell>
          <cell r="S94">
            <v>44257309</v>
          </cell>
          <cell r="T94">
            <v>45421020</v>
          </cell>
          <cell r="U94">
            <v>46600663</v>
          </cell>
          <cell r="V94">
            <v>47797392</v>
          </cell>
          <cell r="W94" t="str">
            <v>IRQ</v>
          </cell>
          <cell r="X94"/>
          <cell r="Y94"/>
          <cell r="Z94"/>
          <cell r="AA94"/>
          <cell r="AB94"/>
          <cell r="AC94"/>
          <cell r="AD94"/>
        </row>
        <row r="95">
          <cell r="A95" t="str">
            <v>Ireland</v>
          </cell>
          <cell r="B95" t="str">
            <v>IRL</v>
          </cell>
          <cell r="C95" t="str">
            <v>IRE</v>
          </cell>
          <cell r="D95" t="str">
            <v>EME</v>
          </cell>
          <cell r="E95">
            <v>0</v>
          </cell>
          <cell r="F95">
            <v>0</v>
          </cell>
          <cell r="G95">
            <v>4617334</v>
          </cell>
          <cell r="H95">
            <v>4652714</v>
          </cell>
          <cell r="I95">
            <v>4667868</v>
          </cell>
          <cell r="J95">
            <v>4671263</v>
          </cell>
          <cell r="K95">
            <v>4675164</v>
          </cell>
          <cell r="L95">
            <v>4688465</v>
          </cell>
          <cell r="M95">
            <v>4713993</v>
          </cell>
          <cell r="N95">
            <v>4749153</v>
          </cell>
          <cell r="O95">
            <v>4790845</v>
          </cell>
          <cell r="P95">
            <v>4833838</v>
          </cell>
          <cell r="Q95">
            <v>4874292</v>
          </cell>
          <cell r="R95">
            <v>4911747</v>
          </cell>
          <cell r="S95">
            <v>4947607</v>
          </cell>
          <cell r="T95">
            <v>4982028</v>
          </cell>
          <cell r="U95">
            <v>5015516</v>
          </cell>
          <cell r="V95">
            <v>5048457</v>
          </cell>
          <cell r="W95" t="str">
            <v>IRL</v>
          </cell>
          <cell r="X95"/>
          <cell r="Y95"/>
          <cell r="Z95"/>
          <cell r="AA95"/>
          <cell r="AB95"/>
          <cell r="AC95"/>
          <cell r="AD95"/>
        </row>
        <row r="96">
          <cell r="A96" t="str">
            <v>Israel</v>
          </cell>
          <cell r="B96" t="str">
            <v>ISR</v>
          </cell>
          <cell r="C96" t="str">
            <v>ISR</v>
          </cell>
          <cell r="D96" t="str">
            <v>EME</v>
          </cell>
          <cell r="E96">
            <v>0</v>
          </cell>
          <cell r="F96">
            <v>4</v>
          </cell>
          <cell r="G96">
            <v>7420368</v>
          </cell>
          <cell r="H96">
            <v>7563334</v>
          </cell>
          <cell r="I96">
            <v>7694507</v>
          </cell>
          <cell r="J96">
            <v>7817818</v>
          </cell>
          <cell r="K96">
            <v>7939483</v>
          </cell>
          <cell r="L96">
            <v>8064036</v>
          </cell>
          <cell r="M96">
            <v>8192463</v>
          </cell>
          <cell r="N96">
            <v>8323248</v>
          </cell>
          <cell r="O96">
            <v>8455489</v>
          </cell>
          <cell r="P96">
            <v>8587544</v>
          </cell>
          <cell r="Q96">
            <v>8718236</v>
          </cell>
          <cell r="R96">
            <v>8847534</v>
          </cell>
          <cell r="S96">
            <v>8976050</v>
          </cell>
          <cell r="T96">
            <v>9103973</v>
          </cell>
          <cell r="U96">
            <v>9231611</v>
          </cell>
          <cell r="V96">
            <v>9359208</v>
          </cell>
          <cell r="W96" t="str">
            <v>ISR</v>
          </cell>
          <cell r="X96"/>
          <cell r="Y96"/>
          <cell r="Z96"/>
          <cell r="AA96"/>
          <cell r="AB96"/>
          <cell r="AC96"/>
          <cell r="AD96"/>
        </row>
        <row r="97">
          <cell r="A97" t="str">
            <v>Italy</v>
          </cell>
          <cell r="B97" t="str">
            <v>ITA</v>
          </cell>
          <cell r="C97" t="str">
            <v>ITA</v>
          </cell>
          <cell r="D97" t="str">
            <v>EME</v>
          </cell>
          <cell r="E97">
            <v>0</v>
          </cell>
          <cell r="F97">
            <v>0</v>
          </cell>
          <cell r="G97">
            <v>59588007</v>
          </cell>
          <cell r="H97">
            <v>59678993</v>
          </cell>
          <cell r="I97">
            <v>59737717</v>
          </cell>
          <cell r="J97">
            <v>59771094</v>
          </cell>
          <cell r="K97">
            <v>59788667</v>
          </cell>
          <cell r="L97">
            <v>59797685</v>
          </cell>
          <cell r="M97">
            <v>59801004</v>
          </cell>
          <cell r="N97">
            <v>59797978</v>
          </cell>
          <cell r="O97">
            <v>59788104</v>
          </cell>
          <cell r="P97">
            <v>59769595</v>
          </cell>
          <cell r="Q97">
            <v>59741327</v>
          </cell>
          <cell r="R97">
            <v>59704031</v>
          </cell>
          <cell r="S97">
            <v>59659281</v>
          </cell>
          <cell r="T97">
            <v>59607682</v>
          </cell>
          <cell r="U97">
            <v>59549862</v>
          </cell>
          <cell r="V97">
            <v>59486401</v>
          </cell>
          <cell r="W97" t="str">
            <v>ITA</v>
          </cell>
          <cell r="X97"/>
          <cell r="Y97"/>
          <cell r="Z97"/>
          <cell r="AA97"/>
          <cell r="AB97"/>
          <cell r="AC97"/>
          <cell r="AD97"/>
        </row>
        <row r="98">
          <cell r="A98" t="str">
            <v>Jamaica</v>
          </cell>
          <cell r="B98" t="str">
            <v>JAM</v>
          </cell>
          <cell r="C98" t="str">
            <v>JAM</v>
          </cell>
          <cell r="D98" t="str">
            <v>LAC</v>
          </cell>
          <cell r="E98">
            <v>0</v>
          </cell>
          <cell r="F98">
            <v>111</v>
          </cell>
          <cell r="G98">
            <v>2741253</v>
          </cell>
          <cell r="H98">
            <v>2752358</v>
          </cell>
          <cell r="I98">
            <v>2762965</v>
          </cell>
          <cell r="J98">
            <v>2773215</v>
          </cell>
          <cell r="K98">
            <v>2783301</v>
          </cell>
          <cell r="L98">
            <v>2793335</v>
          </cell>
          <cell r="M98">
            <v>2803362</v>
          </cell>
          <cell r="N98">
            <v>2813285</v>
          </cell>
          <cell r="O98">
            <v>2822897</v>
          </cell>
          <cell r="P98">
            <v>2831915</v>
          </cell>
          <cell r="Q98">
            <v>2840110</v>
          </cell>
          <cell r="R98">
            <v>2847427</v>
          </cell>
          <cell r="S98">
            <v>2853863</v>
          </cell>
          <cell r="T98">
            <v>2859320</v>
          </cell>
          <cell r="U98">
            <v>2863694</v>
          </cell>
          <cell r="V98">
            <v>2866922</v>
          </cell>
          <cell r="W98" t="str">
            <v>JAM</v>
          </cell>
          <cell r="X98"/>
          <cell r="Y98"/>
          <cell r="Z98"/>
          <cell r="AA98"/>
          <cell r="AB98"/>
          <cell r="AC98"/>
          <cell r="AD98"/>
        </row>
        <row r="99">
          <cell r="A99" t="str">
            <v>Japan</v>
          </cell>
          <cell r="B99" t="str">
            <v>JPN</v>
          </cell>
          <cell r="C99" t="str">
            <v>JPN</v>
          </cell>
          <cell r="D99" t="str">
            <v>EME</v>
          </cell>
          <cell r="E99">
            <v>0</v>
          </cell>
          <cell r="F99">
            <v>106</v>
          </cell>
          <cell r="G99">
            <v>127319802</v>
          </cell>
          <cell r="H99">
            <v>127252900</v>
          </cell>
          <cell r="I99">
            <v>127139821</v>
          </cell>
          <cell r="J99">
            <v>126984964</v>
          </cell>
          <cell r="K99">
            <v>126794564</v>
          </cell>
          <cell r="L99">
            <v>126573481</v>
          </cell>
          <cell r="M99">
            <v>126323715</v>
          </cell>
          <cell r="N99">
            <v>126045211</v>
          </cell>
          <cell r="O99">
            <v>125738357</v>
          </cell>
          <cell r="P99">
            <v>125402911</v>
          </cell>
          <cell r="Q99">
            <v>125039024</v>
          </cell>
          <cell r="R99">
            <v>124647846</v>
          </cell>
          <cell r="S99">
            <v>124231042</v>
          </cell>
          <cell r="T99">
            <v>123789861</v>
          </cell>
          <cell r="U99">
            <v>123325631</v>
          </cell>
          <cell r="V99">
            <v>122839664</v>
          </cell>
          <cell r="W99" t="str">
            <v>JPN</v>
          </cell>
          <cell r="X99"/>
          <cell r="Y99"/>
          <cell r="Z99"/>
          <cell r="AA99"/>
          <cell r="AB99"/>
          <cell r="AC99"/>
          <cell r="AD99"/>
        </row>
        <row r="100">
          <cell r="A100" t="str">
            <v>Jordan</v>
          </cell>
          <cell r="B100" t="str">
            <v>JOR</v>
          </cell>
          <cell r="C100" t="str">
            <v>JOR</v>
          </cell>
          <cell r="D100" t="str">
            <v>EMR</v>
          </cell>
          <cell r="E100">
            <v>0</v>
          </cell>
          <cell r="F100">
            <v>1</v>
          </cell>
          <cell r="G100">
            <v>6517912</v>
          </cell>
          <cell r="H100">
            <v>6760371</v>
          </cell>
          <cell r="I100">
            <v>6994451</v>
          </cell>
          <cell r="J100">
            <v>7214832</v>
          </cell>
          <cell r="K100">
            <v>7416083</v>
          </cell>
          <cell r="L100">
            <v>7594547</v>
          </cell>
          <cell r="M100">
            <v>7747800</v>
          </cell>
          <cell r="N100">
            <v>7876703</v>
          </cell>
          <cell r="O100">
            <v>7985411</v>
          </cell>
          <cell r="P100">
            <v>8080312</v>
          </cell>
          <cell r="Q100">
            <v>8166792</v>
          </cell>
          <cell r="R100">
            <v>8245865</v>
          </cell>
          <cell r="S100">
            <v>8318287</v>
          </cell>
          <cell r="T100">
            <v>8389000</v>
          </cell>
          <cell r="U100">
            <v>8463856</v>
          </cell>
          <cell r="V100">
            <v>8547226</v>
          </cell>
          <cell r="W100" t="str">
            <v>JOR</v>
          </cell>
          <cell r="X100"/>
          <cell r="Y100"/>
          <cell r="Z100"/>
          <cell r="AA100"/>
          <cell r="AB100"/>
          <cell r="AC100"/>
          <cell r="AD100"/>
        </row>
        <row r="101">
          <cell r="A101" t="str">
            <v>Kazakhstan</v>
          </cell>
          <cell r="B101" t="str">
            <v>KAZ</v>
          </cell>
          <cell r="C101" t="str">
            <v>KAZ</v>
          </cell>
          <cell r="D101" t="str">
            <v>EEUR</v>
          </cell>
          <cell r="E101">
            <v>0</v>
          </cell>
          <cell r="F101">
            <v>179</v>
          </cell>
          <cell r="G101">
            <v>16310624</v>
          </cell>
          <cell r="H101">
            <v>16554305</v>
          </cell>
          <cell r="I101">
            <v>16821455</v>
          </cell>
          <cell r="J101">
            <v>17099546</v>
          </cell>
          <cell r="K101">
            <v>17371621</v>
          </cell>
          <cell r="L101">
            <v>17625226</v>
          </cell>
          <cell r="M101">
            <v>17855384</v>
          </cell>
          <cell r="N101">
            <v>18064470</v>
          </cell>
          <cell r="O101">
            <v>18256484</v>
          </cell>
          <cell r="P101">
            <v>18438619</v>
          </cell>
          <cell r="Q101">
            <v>18616175</v>
          </cell>
          <cell r="R101">
            <v>18789737</v>
          </cell>
          <cell r="S101">
            <v>18957262</v>
          </cell>
          <cell r="T101">
            <v>19118519</v>
          </cell>
          <cell r="U101">
            <v>19272850</v>
          </cell>
          <cell r="V101">
            <v>19419954</v>
          </cell>
          <cell r="W101" t="str">
            <v>KAZ</v>
          </cell>
          <cell r="X101"/>
          <cell r="Y101"/>
          <cell r="Z101"/>
          <cell r="AA101"/>
          <cell r="AB101"/>
          <cell r="AC101"/>
          <cell r="AD101"/>
        </row>
        <row r="102">
          <cell r="A102" t="str">
            <v>Kenya</v>
          </cell>
          <cell r="B102" t="str">
            <v>KEN</v>
          </cell>
          <cell r="C102" t="str">
            <v>KEN</v>
          </cell>
          <cell r="D102" t="str">
            <v>AFRhigh</v>
          </cell>
          <cell r="E102" t="str">
            <v>Shilling</v>
          </cell>
          <cell r="F102">
            <v>88</v>
          </cell>
          <cell r="G102">
            <v>40328313</v>
          </cell>
          <cell r="H102">
            <v>41419954</v>
          </cell>
          <cell r="I102">
            <v>42542978</v>
          </cell>
          <cell r="J102">
            <v>43692881</v>
          </cell>
          <cell r="K102">
            <v>44863583</v>
          </cell>
          <cell r="L102">
            <v>46050302</v>
          </cell>
          <cell r="M102">
            <v>47251449</v>
          </cell>
          <cell r="N102">
            <v>48466928</v>
          </cell>
          <cell r="O102">
            <v>49695319</v>
          </cell>
          <cell r="P102">
            <v>50935499</v>
          </cell>
          <cell r="Q102">
            <v>52186722</v>
          </cell>
          <cell r="R102">
            <v>53447861</v>
          </cell>
          <cell r="S102">
            <v>54718816</v>
          </cell>
          <cell r="T102">
            <v>56001265</v>
          </cell>
          <cell r="U102">
            <v>57297751</v>
          </cell>
          <cell r="V102">
            <v>58610170</v>
          </cell>
          <cell r="W102" t="str">
            <v>KEN</v>
          </cell>
          <cell r="X102"/>
          <cell r="Y102"/>
          <cell r="Z102"/>
          <cell r="AA102"/>
          <cell r="AB102"/>
          <cell r="AC102"/>
          <cell r="AD102"/>
        </row>
        <row r="103">
          <cell r="A103" t="str">
            <v>Kiribati</v>
          </cell>
          <cell r="B103" t="str">
            <v>KIR</v>
          </cell>
          <cell r="C103" t="str">
            <v>KIR</v>
          </cell>
          <cell r="D103" t="str">
            <v>WPR</v>
          </cell>
          <cell r="E103">
            <v>0</v>
          </cell>
          <cell r="F103">
            <v>1</v>
          </cell>
          <cell r="G103">
            <v>102648</v>
          </cell>
          <cell r="H103">
            <v>104662</v>
          </cell>
          <cell r="I103">
            <v>106620</v>
          </cell>
          <cell r="J103">
            <v>108544</v>
          </cell>
          <cell r="K103">
            <v>110470</v>
          </cell>
          <cell r="L103">
            <v>112423</v>
          </cell>
          <cell r="M103">
            <v>114405</v>
          </cell>
          <cell r="N103">
            <v>116405</v>
          </cell>
          <cell r="O103">
            <v>118417</v>
          </cell>
          <cell r="P103">
            <v>120429</v>
          </cell>
          <cell r="Q103">
            <v>122434</v>
          </cell>
          <cell r="R103">
            <v>124431</v>
          </cell>
          <cell r="S103">
            <v>126420</v>
          </cell>
          <cell r="T103">
            <v>128395</v>
          </cell>
          <cell r="U103">
            <v>130351</v>
          </cell>
          <cell r="V103">
            <v>132283</v>
          </cell>
          <cell r="W103" t="str">
            <v>KIR</v>
          </cell>
          <cell r="X103"/>
          <cell r="Y103"/>
          <cell r="Z103"/>
          <cell r="AA103"/>
          <cell r="AB103"/>
          <cell r="AC103"/>
          <cell r="AD103"/>
        </row>
        <row r="104">
          <cell r="A104" t="str">
            <v>Kuwait</v>
          </cell>
          <cell r="B104" t="str">
            <v>KWT</v>
          </cell>
          <cell r="C104" t="str">
            <v>KUW</v>
          </cell>
          <cell r="D104" t="str">
            <v>EMR</v>
          </cell>
          <cell r="E104">
            <v>0</v>
          </cell>
          <cell r="F104">
            <v>0</v>
          </cell>
          <cell r="G104">
            <v>3059473</v>
          </cell>
          <cell r="H104">
            <v>3239181</v>
          </cell>
          <cell r="I104">
            <v>3419581</v>
          </cell>
          <cell r="J104">
            <v>3593689</v>
          </cell>
          <cell r="K104">
            <v>3753121</v>
          </cell>
          <cell r="L104">
            <v>3892115</v>
          </cell>
          <cell r="M104">
            <v>4007146</v>
          </cell>
          <cell r="N104">
            <v>4099932</v>
          </cell>
          <cell r="O104">
            <v>4176642</v>
          </cell>
          <cell r="P104">
            <v>4246562</v>
          </cell>
          <cell r="Q104">
            <v>4316618</v>
          </cell>
          <cell r="R104">
            <v>4388612</v>
          </cell>
          <cell r="S104">
            <v>4460971</v>
          </cell>
          <cell r="T104">
            <v>4533237</v>
          </cell>
          <cell r="U104">
            <v>4603985</v>
          </cell>
          <cell r="V104">
            <v>4672201</v>
          </cell>
          <cell r="W104" t="str">
            <v>KWT</v>
          </cell>
          <cell r="X104"/>
          <cell r="Y104"/>
          <cell r="Z104"/>
          <cell r="AA104"/>
          <cell r="AB104"/>
          <cell r="AC104"/>
          <cell r="AD104"/>
        </row>
        <row r="105">
          <cell r="A105" t="str">
            <v>Kyrgyzstan</v>
          </cell>
          <cell r="B105" t="str">
            <v>KGZ</v>
          </cell>
          <cell r="C105" t="str">
            <v>KGZ</v>
          </cell>
          <cell r="D105" t="str">
            <v>EEUR</v>
          </cell>
          <cell r="E105" t="str">
            <v>Som</v>
          </cell>
          <cell r="F105">
            <v>54</v>
          </cell>
          <cell r="G105">
            <v>5464567</v>
          </cell>
          <cell r="H105">
            <v>5553827</v>
          </cell>
          <cell r="I105">
            <v>5648230</v>
          </cell>
          <cell r="J105">
            <v>5745698</v>
          </cell>
          <cell r="K105">
            <v>5843617</v>
          </cell>
          <cell r="L105">
            <v>5939962</v>
          </cell>
          <cell r="M105">
            <v>6033769</v>
          </cell>
          <cell r="N105">
            <v>6124945</v>
          </cell>
          <cell r="O105">
            <v>6213441</v>
          </cell>
          <cell r="P105">
            <v>6299575</v>
          </cell>
          <cell r="Q105">
            <v>6383563</v>
          </cell>
          <cell r="R105">
            <v>6465205</v>
          </cell>
          <cell r="S105">
            <v>6544194</v>
          </cell>
          <cell r="T105">
            <v>6620595</v>
          </cell>
          <cell r="U105">
            <v>6694556</v>
          </cell>
          <cell r="V105">
            <v>6766240</v>
          </cell>
          <cell r="W105" t="str">
            <v>KGZ</v>
          </cell>
          <cell r="X105"/>
          <cell r="Y105"/>
          <cell r="Z105"/>
          <cell r="AA105"/>
          <cell r="AB105"/>
          <cell r="AC105"/>
          <cell r="AD105"/>
        </row>
        <row r="106">
          <cell r="A106" t="str">
            <v>Lao People's Democratic Republic</v>
          </cell>
          <cell r="B106" t="str">
            <v>LAO</v>
          </cell>
          <cell r="C106" t="str">
            <v xml:space="preserve"> </v>
          </cell>
          <cell r="D106" t="str">
            <v>WPR</v>
          </cell>
          <cell r="E106" t="str">
            <v xml:space="preserve"> </v>
          </cell>
          <cell r="F106">
            <v>8049</v>
          </cell>
          <cell r="G106">
            <v>6260544</v>
          </cell>
          <cell r="H106">
            <v>6366909</v>
          </cell>
          <cell r="I106">
            <v>6473050</v>
          </cell>
          <cell r="J106">
            <v>6579985</v>
          </cell>
          <cell r="K106">
            <v>6689300</v>
          </cell>
          <cell r="L106">
            <v>6802023</v>
          </cell>
          <cell r="M106">
            <v>6918367</v>
          </cell>
          <cell r="N106">
            <v>7037521</v>
          </cell>
          <cell r="O106">
            <v>7158246</v>
          </cell>
          <cell r="P106">
            <v>7278824</v>
          </cell>
          <cell r="Q106">
            <v>7397943</v>
          </cell>
          <cell r="R106">
            <v>7515140</v>
          </cell>
          <cell r="S106">
            <v>7630520</v>
          </cell>
          <cell r="T106">
            <v>7744039</v>
          </cell>
          <cell r="U106">
            <v>7855828</v>
          </cell>
          <cell r="V106">
            <v>7965982</v>
          </cell>
          <cell r="W106" t="str">
            <v>LAO</v>
          </cell>
          <cell r="X106"/>
          <cell r="Y106"/>
          <cell r="Z106"/>
          <cell r="AA106"/>
          <cell r="AB106"/>
          <cell r="AC106"/>
          <cell r="AD106"/>
        </row>
        <row r="107">
          <cell r="A107" t="str">
            <v>Latvia</v>
          </cell>
          <cell r="B107" t="str">
            <v>LVA</v>
          </cell>
          <cell r="C107" t="str">
            <v>LVA</v>
          </cell>
          <cell r="D107" t="str">
            <v>EEUR</v>
          </cell>
          <cell r="E107">
            <v>0</v>
          </cell>
          <cell r="F107">
            <v>0</v>
          </cell>
          <cell r="G107">
            <v>2090519</v>
          </cell>
          <cell r="H107">
            <v>2063661</v>
          </cell>
          <cell r="I107">
            <v>2037090</v>
          </cell>
          <cell r="J107">
            <v>2011857</v>
          </cell>
          <cell r="K107">
            <v>1989354</v>
          </cell>
          <cell r="L107">
            <v>1970503</v>
          </cell>
          <cell r="M107">
            <v>1955742</v>
          </cell>
          <cell r="N107">
            <v>1944565</v>
          </cell>
          <cell r="O107">
            <v>1935780</v>
          </cell>
          <cell r="P107">
            <v>1927669</v>
          </cell>
          <cell r="Q107">
            <v>1918949</v>
          </cell>
          <cell r="R107">
            <v>1909219</v>
          </cell>
          <cell r="S107">
            <v>1898721</v>
          </cell>
          <cell r="T107">
            <v>1887603</v>
          </cell>
          <cell r="U107">
            <v>1876225</v>
          </cell>
          <cell r="V107">
            <v>1864854</v>
          </cell>
          <cell r="W107" t="str">
            <v>LVA</v>
          </cell>
          <cell r="X107"/>
          <cell r="Y107"/>
          <cell r="Z107"/>
          <cell r="AA107"/>
          <cell r="AB107"/>
          <cell r="AC107"/>
          <cell r="AD107"/>
        </row>
        <row r="108">
          <cell r="A108" t="str">
            <v>Lebanon</v>
          </cell>
          <cell r="B108" t="str">
            <v>LBN</v>
          </cell>
          <cell r="C108" t="str">
            <v>LEB</v>
          </cell>
          <cell r="D108" t="str">
            <v>EMR</v>
          </cell>
          <cell r="E108">
            <v>0</v>
          </cell>
          <cell r="F108">
            <v>1508</v>
          </cell>
          <cell r="G108">
            <v>4337156</v>
          </cell>
          <cell r="H108">
            <v>4591698</v>
          </cell>
          <cell r="I108">
            <v>4924257</v>
          </cell>
          <cell r="J108">
            <v>5286990</v>
          </cell>
          <cell r="K108">
            <v>5612096</v>
          </cell>
          <cell r="L108">
            <v>5850743</v>
          </cell>
          <cell r="M108">
            <v>5988153</v>
          </cell>
          <cell r="N108">
            <v>6039277</v>
          </cell>
          <cell r="O108">
            <v>6021629</v>
          </cell>
          <cell r="P108">
            <v>5964649</v>
          </cell>
          <cell r="Q108">
            <v>5891495</v>
          </cell>
          <cell r="R108">
            <v>5804829</v>
          </cell>
          <cell r="S108">
            <v>5701563</v>
          </cell>
          <cell r="T108">
            <v>5592995</v>
          </cell>
          <cell r="U108">
            <v>5491940</v>
          </cell>
          <cell r="V108">
            <v>5407997</v>
          </cell>
          <cell r="W108" t="str">
            <v>LBN</v>
          </cell>
          <cell r="X108"/>
          <cell r="Y108"/>
          <cell r="Z108"/>
          <cell r="AA108"/>
          <cell r="AB108"/>
          <cell r="AC108"/>
          <cell r="AD108"/>
        </row>
        <row r="109">
          <cell r="A109" t="str">
            <v>Lesotho</v>
          </cell>
          <cell r="B109" t="str">
            <v>LSO</v>
          </cell>
          <cell r="C109" t="str">
            <v>LES</v>
          </cell>
          <cell r="D109" t="str">
            <v>AFRhigh</v>
          </cell>
          <cell r="E109" t="str">
            <v>Loti</v>
          </cell>
          <cell r="F109">
            <v>11</v>
          </cell>
          <cell r="G109">
            <v>2010586</v>
          </cell>
          <cell r="H109">
            <v>2032950</v>
          </cell>
          <cell r="I109">
            <v>2057331</v>
          </cell>
          <cell r="J109">
            <v>2083061</v>
          </cell>
          <cell r="K109">
            <v>2109197</v>
          </cell>
          <cell r="L109">
            <v>2135022</v>
          </cell>
          <cell r="M109">
            <v>2160309</v>
          </cell>
          <cell r="N109">
            <v>2185159</v>
          </cell>
          <cell r="O109">
            <v>2209595</v>
          </cell>
          <cell r="P109">
            <v>2233740</v>
          </cell>
          <cell r="Q109">
            <v>2257685</v>
          </cell>
          <cell r="R109">
            <v>2281391</v>
          </cell>
          <cell r="S109">
            <v>2304780</v>
          </cell>
          <cell r="T109">
            <v>2327886</v>
          </cell>
          <cell r="U109">
            <v>2350768</v>
          </cell>
          <cell r="V109">
            <v>2373478</v>
          </cell>
          <cell r="W109" t="str">
            <v>LSO</v>
          </cell>
          <cell r="X109"/>
          <cell r="Y109"/>
          <cell r="Z109"/>
          <cell r="AA109"/>
          <cell r="AB109"/>
          <cell r="AC109"/>
          <cell r="AD109"/>
        </row>
        <row r="110">
          <cell r="A110" t="str">
            <v>Liberia</v>
          </cell>
          <cell r="B110" t="str">
            <v>LBR</v>
          </cell>
          <cell r="C110" t="str">
            <v>LIB</v>
          </cell>
          <cell r="D110" t="str">
            <v>AFRlow</v>
          </cell>
          <cell r="E110" t="str">
            <v>Liberian Dollar</v>
          </cell>
          <cell r="F110">
            <v>0</v>
          </cell>
          <cell r="G110">
            <v>3957990</v>
          </cell>
          <cell r="H110">
            <v>4079574</v>
          </cell>
          <cell r="I110">
            <v>4190155</v>
          </cell>
          <cell r="J110">
            <v>4293692</v>
          </cell>
          <cell r="K110">
            <v>4396554</v>
          </cell>
          <cell r="L110">
            <v>4503438</v>
          </cell>
          <cell r="M110">
            <v>4615222</v>
          </cell>
          <cell r="N110">
            <v>4730437</v>
          </cell>
          <cell r="O110">
            <v>4848701</v>
          </cell>
          <cell r="P110">
            <v>4969067</v>
          </cell>
          <cell r="Q110">
            <v>5090855</v>
          </cell>
          <cell r="R110">
            <v>5214204</v>
          </cell>
          <cell r="S110">
            <v>5339590</v>
          </cell>
          <cell r="T110">
            <v>5467021</v>
          </cell>
          <cell r="U110">
            <v>5596494</v>
          </cell>
          <cell r="V110">
            <v>5727990</v>
          </cell>
          <cell r="W110" t="str">
            <v>LBR</v>
          </cell>
          <cell r="X110"/>
          <cell r="Y110"/>
          <cell r="Z110"/>
          <cell r="AA110"/>
          <cell r="AB110"/>
          <cell r="AC110"/>
          <cell r="AD110"/>
        </row>
        <row r="111">
          <cell r="A111" t="str">
            <v>Libyan Arab Jamahiriya</v>
          </cell>
          <cell r="B111" t="str">
            <v>LBY</v>
          </cell>
          <cell r="C111" t="str">
            <v>LIY</v>
          </cell>
          <cell r="D111" t="str">
            <v>EMR</v>
          </cell>
          <cell r="E111">
            <v>0</v>
          </cell>
          <cell r="F111">
            <v>1</v>
          </cell>
          <cell r="G111">
            <v>6265697</v>
          </cell>
          <cell r="H111">
            <v>6288652</v>
          </cell>
          <cell r="I111">
            <v>6283403</v>
          </cell>
          <cell r="J111">
            <v>6265987</v>
          </cell>
          <cell r="K111">
            <v>6258984</v>
          </cell>
          <cell r="L111">
            <v>6278438</v>
          </cell>
          <cell r="M111">
            <v>6330159</v>
          </cell>
          <cell r="N111">
            <v>6408742</v>
          </cell>
          <cell r="O111">
            <v>6505278</v>
          </cell>
          <cell r="P111">
            <v>6605830</v>
          </cell>
          <cell r="Q111">
            <v>6700086</v>
          </cell>
          <cell r="R111">
            <v>6785839</v>
          </cell>
          <cell r="S111">
            <v>6866015</v>
          </cell>
          <cell r="T111">
            <v>6941454</v>
          </cell>
          <cell r="U111">
            <v>7014340</v>
          </cell>
          <cell r="V111">
            <v>7086250</v>
          </cell>
          <cell r="W111" t="str">
            <v>LBY</v>
          </cell>
          <cell r="X111"/>
          <cell r="Y111"/>
          <cell r="Z111"/>
          <cell r="AA111"/>
          <cell r="AB111"/>
          <cell r="AC111"/>
          <cell r="AD111"/>
        </row>
        <row r="112">
          <cell r="A112" t="str">
            <v>Lithuania</v>
          </cell>
          <cell r="B112" t="str">
            <v>LTU</v>
          </cell>
          <cell r="C112" t="str">
            <v>LTU</v>
          </cell>
          <cell r="D112" t="str">
            <v>EEUR</v>
          </cell>
          <cell r="E112">
            <v>0</v>
          </cell>
          <cell r="F112">
            <v>3</v>
          </cell>
          <cell r="G112">
            <v>3122835</v>
          </cell>
          <cell r="H112">
            <v>3070593</v>
          </cell>
          <cell r="I112">
            <v>3016496</v>
          </cell>
          <cell r="J112">
            <v>2963810</v>
          </cell>
          <cell r="K112">
            <v>2916798</v>
          </cell>
          <cell r="L112">
            <v>2878405</v>
          </cell>
          <cell r="M112">
            <v>2850030</v>
          </cell>
          <cell r="N112">
            <v>2830582</v>
          </cell>
          <cell r="O112">
            <v>2817402</v>
          </cell>
          <cell r="P112">
            <v>2806499</v>
          </cell>
          <cell r="Q112">
            <v>2794898</v>
          </cell>
          <cell r="R112">
            <v>2781782</v>
          </cell>
          <cell r="S112">
            <v>2767805</v>
          </cell>
          <cell r="T112">
            <v>2753203</v>
          </cell>
          <cell r="U112">
            <v>2738652</v>
          </cell>
          <cell r="V112">
            <v>2724613</v>
          </cell>
          <cell r="W112" t="str">
            <v>LTU</v>
          </cell>
          <cell r="X112"/>
          <cell r="Y112"/>
          <cell r="Z112"/>
          <cell r="AA112"/>
          <cell r="AB112"/>
          <cell r="AC112"/>
          <cell r="AD112"/>
        </row>
        <row r="113">
          <cell r="A113" t="str">
            <v>Luxembourg</v>
          </cell>
          <cell r="B113" t="str">
            <v>LUX</v>
          </cell>
          <cell r="C113" t="str">
            <v>LUX</v>
          </cell>
          <cell r="D113" t="str">
            <v>EME</v>
          </cell>
          <cell r="E113">
            <v>0</v>
          </cell>
          <cell r="F113">
            <v>0</v>
          </cell>
          <cell r="G113">
            <v>507889</v>
          </cell>
          <cell r="H113">
            <v>519981</v>
          </cell>
          <cell r="I113">
            <v>532479</v>
          </cell>
          <cell r="J113">
            <v>544885</v>
          </cell>
          <cell r="K113">
            <v>556573</v>
          </cell>
          <cell r="L113">
            <v>567110</v>
          </cell>
          <cell r="M113">
            <v>576243</v>
          </cell>
          <cell r="N113">
            <v>584103</v>
          </cell>
          <cell r="O113">
            <v>591126</v>
          </cell>
          <cell r="P113">
            <v>597971</v>
          </cell>
          <cell r="Q113">
            <v>605111</v>
          </cell>
          <cell r="R113">
            <v>612688</v>
          </cell>
          <cell r="S113">
            <v>620551</v>
          </cell>
          <cell r="T113">
            <v>628539</v>
          </cell>
          <cell r="U113">
            <v>636384</v>
          </cell>
          <cell r="V113">
            <v>643895</v>
          </cell>
          <cell r="W113" t="str">
            <v>LUX</v>
          </cell>
          <cell r="X113"/>
          <cell r="Y113"/>
          <cell r="Z113"/>
          <cell r="AA113"/>
          <cell r="AB113"/>
          <cell r="AC113"/>
          <cell r="AD113"/>
        </row>
        <row r="114">
          <cell r="A114" t="str">
            <v>Madagascar</v>
          </cell>
          <cell r="B114" t="str">
            <v>MDG</v>
          </cell>
          <cell r="C114" t="str">
            <v>MAD</v>
          </cell>
          <cell r="D114" t="str">
            <v>AFRlow</v>
          </cell>
          <cell r="E114" t="str">
            <v>Franc</v>
          </cell>
          <cell r="F114">
            <v>2415</v>
          </cell>
          <cell r="G114">
            <v>21079532</v>
          </cell>
          <cell r="H114">
            <v>21678867</v>
          </cell>
          <cell r="I114">
            <v>22293720</v>
          </cell>
          <cell r="J114">
            <v>22924557</v>
          </cell>
          <cell r="K114">
            <v>23571713</v>
          </cell>
          <cell r="L114">
            <v>24235390</v>
          </cell>
          <cell r="M114">
            <v>24915822</v>
          </cell>
          <cell r="N114">
            <v>25612972</v>
          </cell>
          <cell r="O114">
            <v>26326352</v>
          </cell>
          <cell r="P114">
            <v>27055233</v>
          </cell>
          <cell r="Q114">
            <v>27798964</v>
          </cell>
          <cell r="R114">
            <v>28557276</v>
          </cell>
          <cell r="S114">
            <v>29329933</v>
          </cell>
          <cell r="T114">
            <v>30116332</v>
          </cell>
          <cell r="U114">
            <v>30915780</v>
          </cell>
          <cell r="V114">
            <v>31727670</v>
          </cell>
          <cell r="W114" t="str">
            <v>MDG</v>
          </cell>
          <cell r="X114"/>
          <cell r="Y114"/>
          <cell r="Z114"/>
          <cell r="AA114"/>
          <cell r="AB114"/>
          <cell r="AC114"/>
          <cell r="AD114"/>
        </row>
        <row r="115">
          <cell r="A115" t="str">
            <v>Malawi</v>
          </cell>
          <cell r="B115" t="str">
            <v>MWI</v>
          </cell>
          <cell r="C115" t="str">
            <v>MAL</v>
          </cell>
          <cell r="D115" t="str">
            <v>AFRhigh</v>
          </cell>
          <cell r="E115" t="str">
            <v>Kwacha</v>
          </cell>
          <cell r="F115">
            <v>425</v>
          </cell>
          <cell r="G115">
            <v>14769824</v>
          </cell>
          <cell r="H115">
            <v>15226813</v>
          </cell>
          <cell r="I115">
            <v>15700436</v>
          </cell>
          <cell r="J115">
            <v>16190126</v>
          </cell>
          <cell r="K115">
            <v>16695253</v>
          </cell>
          <cell r="L115">
            <v>17215232</v>
          </cell>
          <cell r="M115">
            <v>17749826</v>
          </cell>
          <cell r="N115">
            <v>18298679</v>
          </cell>
          <cell r="O115">
            <v>18860963</v>
          </cell>
          <cell r="P115">
            <v>19435717</v>
          </cell>
          <cell r="Q115">
            <v>20022268</v>
          </cell>
          <cell r="R115">
            <v>20620059</v>
          </cell>
          <cell r="S115">
            <v>21229195</v>
          </cell>
          <cell r="T115">
            <v>21850497</v>
          </cell>
          <cell r="U115">
            <v>22485206</v>
          </cell>
          <cell r="V115">
            <v>23134168</v>
          </cell>
          <cell r="W115" t="str">
            <v>MWI</v>
          </cell>
          <cell r="X115"/>
          <cell r="Y115"/>
          <cell r="Z115"/>
          <cell r="AA115"/>
          <cell r="AB115"/>
          <cell r="AC115"/>
          <cell r="AD115"/>
        </row>
        <row r="116">
          <cell r="A116" t="str">
            <v>Malaysia</v>
          </cell>
          <cell r="B116" t="str">
            <v>MYS</v>
          </cell>
          <cell r="C116" t="str">
            <v>MAA</v>
          </cell>
          <cell r="D116" t="str">
            <v>WPR</v>
          </cell>
          <cell r="E116" t="str">
            <v>Ringgit</v>
          </cell>
          <cell r="F116">
            <v>3</v>
          </cell>
          <cell r="G116">
            <v>28119500</v>
          </cell>
          <cell r="H116">
            <v>28572970</v>
          </cell>
          <cell r="I116">
            <v>29021940</v>
          </cell>
          <cell r="J116">
            <v>29465372</v>
          </cell>
          <cell r="K116">
            <v>29901997</v>
          </cell>
          <cell r="L116">
            <v>30331007</v>
          </cell>
          <cell r="M116">
            <v>30751602</v>
          </cell>
          <cell r="N116">
            <v>31164177</v>
          </cell>
          <cell r="O116">
            <v>31570576</v>
          </cell>
          <cell r="P116">
            <v>31973417</v>
          </cell>
          <cell r="Q116">
            <v>32374474</v>
          </cell>
          <cell r="R116">
            <v>32774196</v>
          </cell>
          <cell r="S116">
            <v>33171611</v>
          </cell>
          <cell r="T116">
            <v>33565296</v>
          </cell>
          <cell r="U116">
            <v>33953170</v>
          </cell>
          <cell r="V116">
            <v>34333554</v>
          </cell>
          <cell r="W116" t="str">
            <v>MYS</v>
          </cell>
          <cell r="X116"/>
          <cell r="Y116"/>
          <cell r="Z116"/>
          <cell r="AA116"/>
          <cell r="AB116"/>
          <cell r="AC116"/>
          <cell r="AD116"/>
        </row>
        <row r="117">
          <cell r="A117" t="str">
            <v>Maldives</v>
          </cell>
          <cell r="B117" t="str">
            <v>MDV</v>
          </cell>
          <cell r="C117" t="str">
            <v>MAV</v>
          </cell>
          <cell r="D117" t="str">
            <v>SEAR</v>
          </cell>
          <cell r="E117">
            <v>0</v>
          </cell>
          <cell r="F117">
            <v>15</v>
          </cell>
          <cell r="G117">
            <v>332575</v>
          </cell>
          <cell r="H117">
            <v>338618</v>
          </cell>
          <cell r="I117">
            <v>344817</v>
          </cell>
          <cell r="J117">
            <v>351111</v>
          </cell>
          <cell r="K117">
            <v>357415</v>
          </cell>
          <cell r="L117">
            <v>363657</v>
          </cell>
          <cell r="M117">
            <v>369812</v>
          </cell>
          <cell r="N117">
            <v>375867</v>
          </cell>
          <cell r="O117">
            <v>381786</v>
          </cell>
          <cell r="P117">
            <v>387533</v>
          </cell>
          <cell r="Q117">
            <v>393080</v>
          </cell>
          <cell r="R117">
            <v>398408</v>
          </cell>
          <cell r="S117">
            <v>403510</v>
          </cell>
          <cell r="T117">
            <v>408385</v>
          </cell>
          <cell r="U117">
            <v>413038</v>
          </cell>
          <cell r="V117">
            <v>417479</v>
          </cell>
          <cell r="W117" t="str">
            <v>MDV</v>
          </cell>
          <cell r="X117"/>
          <cell r="Y117"/>
          <cell r="Z117"/>
          <cell r="AA117"/>
          <cell r="AB117"/>
          <cell r="AC117"/>
          <cell r="AD117"/>
        </row>
        <row r="118">
          <cell r="A118" t="str">
            <v>Mali</v>
          </cell>
          <cell r="B118" t="str">
            <v>MLI</v>
          </cell>
          <cell r="C118" t="str">
            <v>MAI</v>
          </cell>
          <cell r="D118" t="str">
            <v>AFRlow</v>
          </cell>
          <cell r="E118" t="str">
            <v>Franc</v>
          </cell>
          <cell r="F118">
            <v>494</v>
          </cell>
          <cell r="G118">
            <v>15167286</v>
          </cell>
          <cell r="H118">
            <v>15639115</v>
          </cell>
          <cell r="I118">
            <v>16112333</v>
          </cell>
          <cell r="J118">
            <v>16592097</v>
          </cell>
          <cell r="K118">
            <v>17086022</v>
          </cell>
          <cell r="L118">
            <v>17599694</v>
          </cell>
          <cell r="M118">
            <v>18134835</v>
          </cell>
          <cell r="N118">
            <v>18689966</v>
          </cell>
          <cell r="O118">
            <v>19263634</v>
          </cell>
          <cell r="P118">
            <v>19853223</v>
          </cell>
          <cell r="Q118">
            <v>20456890</v>
          </cell>
          <cell r="R118">
            <v>21074464</v>
          </cell>
          <cell r="S118">
            <v>21706962</v>
          </cell>
          <cell r="T118">
            <v>22355088</v>
          </cell>
          <cell r="U118">
            <v>23019873</v>
          </cell>
          <cell r="V118">
            <v>23702050</v>
          </cell>
          <cell r="W118" t="str">
            <v>MLI</v>
          </cell>
          <cell r="X118"/>
          <cell r="Y118"/>
          <cell r="Z118"/>
          <cell r="AA118"/>
          <cell r="AB118"/>
          <cell r="AC118"/>
          <cell r="AD118"/>
        </row>
        <row r="119">
          <cell r="A119" t="str">
            <v>Malta</v>
          </cell>
          <cell r="B119" t="str">
            <v>MLT</v>
          </cell>
          <cell r="C119" t="str">
            <v>MAT</v>
          </cell>
          <cell r="D119" t="str">
            <v>EME</v>
          </cell>
          <cell r="E119">
            <v>0</v>
          </cell>
          <cell r="F119">
            <v>0</v>
          </cell>
          <cell r="G119">
            <v>412064</v>
          </cell>
          <cell r="H119">
            <v>414075</v>
          </cell>
          <cell r="I119">
            <v>415596</v>
          </cell>
          <cell r="J119">
            <v>416747</v>
          </cell>
          <cell r="K119">
            <v>417723</v>
          </cell>
          <cell r="L119">
            <v>418670</v>
          </cell>
          <cell r="M119">
            <v>419615</v>
          </cell>
          <cell r="N119">
            <v>420521</v>
          </cell>
          <cell r="O119">
            <v>421387</v>
          </cell>
          <cell r="P119">
            <v>422203</v>
          </cell>
          <cell r="Q119">
            <v>422960</v>
          </cell>
          <cell r="R119">
            <v>423664</v>
          </cell>
          <cell r="S119">
            <v>424328</v>
          </cell>
          <cell r="T119">
            <v>424955</v>
          </cell>
          <cell r="U119">
            <v>425548</v>
          </cell>
          <cell r="V119">
            <v>426103</v>
          </cell>
          <cell r="W119" t="str">
            <v>MLT</v>
          </cell>
          <cell r="X119"/>
          <cell r="Y119"/>
          <cell r="Z119"/>
          <cell r="AA119"/>
          <cell r="AB119"/>
          <cell r="AC119"/>
          <cell r="AD119"/>
        </row>
        <row r="120">
          <cell r="A120" t="str">
            <v>Marshall Islands</v>
          </cell>
          <cell r="B120" t="str">
            <v>MHL</v>
          </cell>
          <cell r="C120" t="str">
            <v>MSI</v>
          </cell>
          <cell r="D120" t="str">
            <v>WPR</v>
          </cell>
          <cell r="E120">
            <v>0</v>
          </cell>
          <cell r="F120">
            <v>0</v>
          </cell>
          <cell r="G120">
            <v>52428</v>
          </cell>
          <cell r="H120">
            <v>52541</v>
          </cell>
          <cell r="I120">
            <v>52663</v>
          </cell>
          <cell r="J120">
            <v>52786</v>
          </cell>
          <cell r="K120">
            <v>52898</v>
          </cell>
          <cell r="L120">
            <v>52993</v>
          </cell>
          <cell r="M120">
            <v>53069</v>
          </cell>
          <cell r="N120">
            <v>53132</v>
          </cell>
          <cell r="O120">
            <v>53182</v>
          </cell>
          <cell r="P120">
            <v>53224</v>
          </cell>
          <cell r="Q120">
            <v>53263</v>
          </cell>
          <cell r="R120">
            <v>53298</v>
          </cell>
          <cell r="S120">
            <v>53337</v>
          </cell>
          <cell r="T120">
            <v>53398</v>
          </cell>
          <cell r="U120">
            <v>53507</v>
          </cell>
          <cell r="V120">
            <v>53682</v>
          </cell>
          <cell r="W120" t="str">
            <v>MHL</v>
          </cell>
          <cell r="X120"/>
          <cell r="Y120"/>
          <cell r="Z120"/>
          <cell r="AA120"/>
          <cell r="AB120"/>
          <cell r="AC120"/>
          <cell r="AD120"/>
        </row>
        <row r="121">
          <cell r="A121" t="str">
            <v>Mauritania</v>
          </cell>
          <cell r="B121" t="str">
            <v>MRT</v>
          </cell>
          <cell r="C121" t="str">
            <v>MAU</v>
          </cell>
          <cell r="D121" t="str">
            <v>AFRlow</v>
          </cell>
          <cell r="E121" t="str">
            <v>Ouguiya</v>
          </cell>
          <cell r="F121">
            <v>0</v>
          </cell>
          <cell r="G121">
            <v>3591400</v>
          </cell>
          <cell r="H121">
            <v>3683221</v>
          </cell>
          <cell r="I121">
            <v>3777067</v>
          </cell>
          <cell r="J121">
            <v>3872684</v>
          </cell>
          <cell r="K121">
            <v>3969625</v>
          </cell>
          <cell r="L121">
            <v>4067564</v>
          </cell>
          <cell r="M121">
            <v>4166463</v>
          </cell>
          <cell r="N121">
            <v>4266448</v>
          </cell>
          <cell r="O121">
            <v>4367533</v>
          </cell>
          <cell r="P121">
            <v>4469760</v>
          </cell>
          <cell r="Q121">
            <v>4573157</v>
          </cell>
          <cell r="R121">
            <v>4677701</v>
          </cell>
          <cell r="S121">
            <v>4783355</v>
          </cell>
          <cell r="T121">
            <v>4890106</v>
          </cell>
          <cell r="U121">
            <v>4997943</v>
          </cell>
          <cell r="V121">
            <v>5106851</v>
          </cell>
          <cell r="W121" t="str">
            <v>MRT</v>
          </cell>
          <cell r="X121"/>
          <cell r="Y121"/>
          <cell r="Z121"/>
          <cell r="AA121"/>
          <cell r="AB121"/>
          <cell r="AC121"/>
          <cell r="AD121"/>
        </row>
        <row r="122">
          <cell r="A122" t="str">
            <v>Mauritius</v>
          </cell>
          <cell r="B122" t="str">
            <v>MUS</v>
          </cell>
          <cell r="C122" t="str">
            <v>MAS</v>
          </cell>
          <cell r="D122" t="str">
            <v>AFRlow</v>
          </cell>
          <cell r="E122" t="str">
            <v>Rupee</v>
          </cell>
          <cell r="F122">
            <v>31</v>
          </cell>
          <cell r="G122">
            <v>1247951</v>
          </cell>
          <cell r="H122">
            <v>1253089</v>
          </cell>
          <cell r="I122">
            <v>1258335</v>
          </cell>
          <cell r="J122">
            <v>1263560</v>
          </cell>
          <cell r="K122">
            <v>1268567</v>
          </cell>
          <cell r="L122">
            <v>1273212</v>
          </cell>
          <cell r="M122">
            <v>1277459</v>
          </cell>
          <cell r="N122">
            <v>1281353</v>
          </cell>
          <cell r="O122">
            <v>1284928</v>
          </cell>
          <cell r="P122">
            <v>1288249</v>
          </cell>
          <cell r="Q122">
            <v>1291361</v>
          </cell>
          <cell r="R122">
            <v>1294261</v>
          </cell>
          <cell r="S122">
            <v>1296928</v>
          </cell>
          <cell r="T122">
            <v>1299363</v>
          </cell>
          <cell r="U122">
            <v>1301570</v>
          </cell>
          <cell r="V122">
            <v>1303546</v>
          </cell>
          <cell r="W122" t="str">
            <v>MUS</v>
          </cell>
          <cell r="X122"/>
          <cell r="Y122"/>
          <cell r="Z122"/>
          <cell r="AA122"/>
          <cell r="AB122"/>
          <cell r="AC122"/>
          <cell r="AD122"/>
        </row>
        <row r="123">
          <cell r="A123" t="str">
            <v>Mexico</v>
          </cell>
          <cell r="B123" t="str">
            <v>MEX</v>
          </cell>
          <cell r="C123" t="str">
            <v>MEX</v>
          </cell>
          <cell r="D123" t="str">
            <v>LAC</v>
          </cell>
          <cell r="E123" t="str">
            <v>Peso</v>
          </cell>
          <cell r="F123">
            <v>13</v>
          </cell>
          <cell r="G123">
            <v>118617542</v>
          </cell>
          <cell r="H123">
            <v>120365271</v>
          </cell>
          <cell r="I123">
            <v>122070963</v>
          </cell>
          <cell r="J123">
            <v>123740109</v>
          </cell>
          <cell r="K123">
            <v>125385833</v>
          </cell>
          <cell r="L123">
            <v>127017224</v>
          </cell>
          <cell r="M123">
            <v>128632004</v>
          </cell>
          <cell r="N123">
            <v>130222815</v>
          </cell>
          <cell r="O123">
            <v>131788271</v>
          </cell>
          <cell r="P123">
            <v>133326828</v>
          </cell>
          <cell r="Q123">
            <v>134837046</v>
          </cell>
          <cell r="R123">
            <v>136317960</v>
          </cell>
          <cell r="S123">
            <v>137768575</v>
          </cell>
          <cell r="T123">
            <v>139187400</v>
          </cell>
          <cell r="U123">
            <v>140572835</v>
          </cell>
          <cell r="V123">
            <v>141923538</v>
          </cell>
          <cell r="W123" t="str">
            <v>MEX</v>
          </cell>
          <cell r="X123"/>
          <cell r="Y123"/>
          <cell r="Z123"/>
          <cell r="AA123"/>
          <cell r="AB123"/>
          <cell r="AC123"/>
          <cell r="AD123"/>
        </row>
        <row r="124">
          <cell r="A124" t="str">
            <v>Micronesia (Federated States of)</v>
          </cell>
          <cell r="B124" t="str">
            <v>FSM</v>
          </cell>
          <cell r="C124" t="str">
            <v xml:space="preserve"> </v>
          </cell>
          <cell r="D124" t="str">
            <v>WPR</v>
          </cell>
          <cell r="E124" t="str">
            <v xml:space="preserve"> </v>
          </cell>
          <cell r="F124">
            <v>1</v>
          </cell>
          <cell r="G124">
            <v>103619</v>
          </cell>
          <cell r="H124">
            <v>103476</v>
          </cell>
          <cell r="I124">
            <v>103516</v>
          </cell>
          <cell r="J124">
            <v>103718</v>
          </cell>
          <cell r="K124">
            <v>104044</v>
          </cell>
          <cell r="L124">
            <v>104460</v>
          </cell>
          <cell r="M124">
            <v>104966</v>
          </cell>
          <cell r="N124">
            <v>105566</v>
          </cell>
          <cell r="O124">
            <v>106249</v>
          </cell>
          <cell r="P124">
            <v>106996</v>
          </cell>
          <cell r="Q124">
            <v>107795</v>
          </cell>
          <cell r="R124">
            <v>108634</v>
          </cell>
          <cell r="S124">
            <v>109509</v>
          </cell>
          <cell r="T124">
            <v>110419</v>
          </cell>
          <cell r="U124">
            <v>111375</v>
          </cell>
          <cell r="V124">
            <v>112374</v>
          </cell>
          <cell r="W124" t="str">
            <v>FSM</v>
          </cell>
          <cell r="X124"/>
          <cell r="Y124"/>
          <cell r="Z124"/>
          <cell r="AA124"/>
          <cell r="AB124"/>
          <cell r="AC124"/>
          <cell r="AD124"/>
        </row>
        <row r="125">
          <cell r="A125" t="str">
            <v>Monaco</v>
          </cell>
          <cell r="B125" t="str">
            <v>MCO</v>
          </cell>
          <cell r="C125" t="str">
            <v>MON</v>
          </cell>
          <cell r="D125" t="str">
            <v>EME</v>
          </cell>
          <cell r="E125">
            <v>0</v>
          </cell>
          <cell r="F125">
            <v>0</v>
          </cell>
          <cell r="G125">
            <v>36845</v>
          </cell>
          <cell r="H125">
            <v>37189</v>
          </cell>
          <cell r="I125">
            <v>37404</v>
          </cell>
          <cell r="J125">
            <v>37528</v>
          </cell>
          <cell r="K125">
            <v>37623</v>
          </cell>
          <cell r="L125">
            <v>37731</v>
          </cell>
          <cell r="M125">
            <v>37863</v>
          </cell>
          <cell r="N125">
            <v>38010</v>
          </cell>
          <cell r="O125">
            <v>38166</v>
          </cell>
          <cell r="P125">
            <v>38326</v>
          </cell>
          <cell r="Q125">
            <v>38482</v>
          </cell>
          <cell r="R125">
            <v>38637</v>
          </cell>
          <cell r="S125">
            <v>38797</v>
          </cell>
          <cell r="T125">
            <v>38962</v>
          </cell>
          <cell r="U125">
            <v>39131</v>
          </cell>
          <cell r="V125">
            <v>39303</v>
          </cell>
          <cell r="W125" t="str">
            <v>MCO</v>
          </cell>
          <cell r="X125"/>
          <cell r="Y125"/>
          <cell r="Z125"/>
          <cell r="AA125"/>
          <cell r="AB125"/>
          <cell r="AC125"/>
          <cell r="AD125"/>
        </row>
        <row r="126">
          <cell r="A126" t="str">
            <v>Mongolia</v>
          </cell>
          <cell r="B126" t="str">
            <v>MNG</v>
          </cell>
          <cell r="C126" t="str">
            <v>MOG</v>
          </cell>
          <cell r="D126" t="str">
            <v>WPR</v>
          </cell>
          <cell r="E126">
            <v>0</v>
          </cell>
          <cell r="F126">
            <v>1818</v>
          </cell>
          <cell r="G126">
            <v>2712657</v>
          </cell>
          <cell r="H126">
            <v>2759074</v>
          </cell>
          <cell r="I126">
            <v>2808339</v>
          </cell>
          <cell r="J126">
            <v>2859174</v>
          </cell>
          <cell r="K126">
            <v>2909871</v>
          </cell>
          <cell r="L126">
            <v>2959134</v>
          </cell>
          <cell r="M126">
            <v>3006444</v>
          </cell>
          <cell r="N126">
            <v>3051900</v>
          </cell>
          <cell r="O126">
            <v>3095592</v>
          </cell>
          <cell r="P126">
            <v>3137847</v>
          </cell>
          <cell r="Q126">
            <v>3178904</v>
          </cell>
          <cell r="R126">
            <v>3218683</v>
          </cell>
          <cell r="S126">
            <v>3257001</v>
          </cell>
          <cell r="T126">
            <v>3293907</v>
          </cell>
          <cell r="U126">
            <v>3329481</v>
          </cell>
          <cell r="V126">
            <v>3363803</v>
          </cell>
          <cell r="W126" t="str">
            <v>MNG</v>
          </cell>
          <cell r="X126"/>
          <cell r="Y126"/>
          <cell r="Z126"/>
          <cell r="AA126"/>
          <cell r="AB126"/>
          <cell r="AC126"/>
          <cell r="AD126"/>
        </row>
        <row r="127">
          <cell r="A127" t="str">
            <v>Montenegro</v>
          </cell>
          <cell r="B127" t="str">
            <v>MNE</v>
          </cell>
          <cell r="C127" t="str">
            <v>MNE</v>
          </cell>
          <cell r="D127" t="str">
            <v>CEUR</v>
          </cell>
          <cell r="E127">
            <v>0</v>
          </cell>
          <cell r="F127">
            <v>1</v>
          </cell>
          <cell r="G127">
            <v>621952</v>
          </cell>
          <cell r="H127">
            <v>622957</v>
          </cell>
          <cell r="I127">
            <v>623864</v>
          </cell>
          <cell r="J127">
            <v>624648</v>
          </cell>
          <cell r="K127">
            <v>625292</v>
          </cell>
          <cell r="L127">
            <v>625781</v>
          </cell>
          <cell r="M127">
            <v>626101</v>
          </cell>
          <cell r="N127">
            <v>626250</v>
          </cell>
          <cell r="O127">
            <v>626240</v>
          </cell>
          <cell r="P127">
            <v>626096</v>
          </cell>
          <cell r="Q127">
            <v>625838</v>
          </cell>
          <cell r="R127">
            <v>625467</v>
          </cell>
          <cell r="S127">
            <v>624981</v>
          </cell>
          <cell r="T127">
            <v>624389</v>
          </cell>
          <cell r="U127">
            <v>623702</v>
          </cell>
          <cell r="V127">
            <v>622924</v>
          </cell>
          <cell r="W127" t="str">
            <v>MNE</v>
          </cell>
          <cell r="X127"/>
          <cell r="Y127"/>
          <cell r="Z127"/>
          <cell r="AA127"/>
          <cell r="AB127"/>
          <cell r="AC127"/>
          <cell r="AD127"/>
        </row>
        <row r="128">
          <cell r="A128" t="str">
            <v>Montserrat</v>
          </cell>
          <cell r="B128" t="str">
            <v>MSR</v>
          </cell>
          <cell r="C128" t="str">
            <v>MOT</v>
          </cell>
          <cell r="D128" t="str">
            <v>LAC</v>
          </cell>
          <cell r="E128">
            <v>0</v>
          </cell>
          <cell r="F128" t="e">
            <v>#N/A</v>
          </cell>
          <cell r="G128">
            <v>4953</v>
          </cell>
          <cell r="H128">
            <v>4993</v>
          </cell>
          <cell r="I128">
            <v>5030</v>
          </cell>
          <cell r="J128">
            <v>5063</v>
          </cell>
          <cell r="K128">
            <v>5094</v>
          </cell>
          <cell r="L128">
            <v>5125</v>
          </cell>
          <cell r="M128">
            <v>5154</v>
          </cell>
          <cell r="N128">
            <v>5179</v>
          </cell>
          <cell r="O128">
            <v>5203</v>
          </cell>
          <cell r="P128">
            <v>5226</v>
          </cell>
          <cell r="Q128">
            <v>5247</v>
          </cell>
          <cell r="R128">
            <v>5267</v>
          </cell>
          <cell r="S128">
            <v>5287</v>
          </cell>
          <cell r="T128">
            <v>5305</v>
          </cell>
          <cell r="U128">
            <v>5323</v>
          </cell>
          <cell r="V128">
            <v>5340</v>
          </cell>
          <cell r="W128" t="str">
            <v>MSR</v>
          </cell>
          <cell r="X128"/>
          <cell r="Y128"/>
          <cell r="Z128"/>
          <cell r="AA128"/>
          <cell r="AB128"/>
          <cell r="AC128"/>
          <cell r="AD128"/>
        </row>
        <row r="129">
          <cell r="A129" t="str">
            <v>Morocco</v>
          </cell>
          <cell r="B129" t="str">
            <v>MAR</v>
          </cell>
          <cell r="C129" t="str">
            <v>MOR</v>
          </cell>
          <cell r="D129" t="str">
            <v>EMR</v>
          </cell>
          <cell r="E129" t="str">
            <v>Dirham</v>
          </cell>
          <cell r="F129">
            <v>8</v>
          </cell>
          <cell r="G129">
            <v>32107739</v>
          </cell>
          <cell r="H129">
            <v>32531964</v>
          </cell>
          <cell r="I129">
            <v>32984190</v>
          </cell>
          <cell r="J129">
            <v>33452686</v>
          </cell>
          <cell r="K129">
            <v>33921203</v>
          </cell>
          <cell r="L129">
            <v>34377511</v>
          </cell>
          <cell r="M129">
            <v>34817065</v>
          </cell>
          <cell r="N129">
            <v>35241418</v>
          </cell>
          <cell r="O129">
            <v>35651885</v>
          </cell>
          <cell r="P129">
            <v>36052026</v>
          </cell>
          <cell r="Q129">
            <v>36444324</v>
          </cell>
          <cell r="R129">
            <v>36828112</v>
          </cell>
          <cell r="S129">
            <v>37201335</v>
          </cell>
          <cell r="T129">
            <v>37563672</v>
          </cell>
          <cell r="U129">
            <v>37914820</v>
          </cell>
          <cell r="V129">
            <v>38254598</v>
          </cell>
          <cell r="W129" t="str">
            <v>MAR</v>
          </cell>
          <cell r="X129"/>
          <cell r="Y129"/>
          <cell r="Z129"/>
          <cell r="AA129"/>
          <cell r="AB129"/>
          <cell r="AC129"/>
          <cell r="AD129"/>
        </row>
        <row r="130">
          <cell r="A130" t="str">
            <v>Mozambique</v>
          </cell>
          <cell r="B130" t="str">
            <v>MOZ</v>
          </cell>
          <cell r="C130" t="str">
            <v>MOZ</v>
          </cell>
          <cell r="D130" t="str">
            <v>AFRhigh</v>
          </cell>
          <cell r="E130" t="str">
            <v>Meticai</v>
          </cell>
          <cell r="F130">
            <v>31</v>
          </cell>
          <cell r="G130">
            <v>24321457</v>
          </cell>
          <cell r="H130">
            <v>25016921</v>
          </cell>
          <cell r="I130">
            <v>25732928</v>
          </cell>
          <cell r="J130">
            <v>26467180</v>
          </cell>
          <cell r="K130">
            <v>27216276</v>
          </cell>
          <cell r="L130">
            <v>27977863</v>
          </cell>
          <cell r="M130">
            <v>28751362</v>
          </cell>
          <cell r="N130">
            <v>29537914</v>
          </cell>
          <cell r="O130">
            <v>30338988</v>
          </cell>
          <cell r="P130">
            <v>31156777</v>
          </cell>
          <cell r="Q130">
            <v>31992997</v>
          </cell>
          <cell r="R130">
            <v>32848041</v>
          </cell>
          <cell r="S130">
            <v>33721800</v>
          </cell>
          <cell r="T130">
            <v>34614910</v>
          </cell>
          <cell r="U130">
            <v>35527996</v>
          </cell>
          <cell r="V130">
            <v>36461507</v>
          </cell>
          <cell r="W130" t="str">
            <v>MOZ</v>
          </cell>
          <cell r="X130"/>
          <cell r="Y130"/>
          <cell r="Z130"/>
          <cell r="AA130"/>
          <cell r="AB130"/>
          <cell r="AC130"/>
          <cell r="AD130"/>
        </row>
        <row r="131">
          <cell r="A131" t="str">
            <v>Myanmar</v>
          </cell>
          <cell r="B131" t="str">
            <v>MMR</v>
          </cell>
          <cell r="C131" t="str">
            <v>MMR</v>
          </cell>
          <cell r="D131" t="str">
            <v>SEAR</v>
          </cell>
          <cell r="E131" t="str">
            <v>Kyat</v>
          </cell>
          <cell r="F131">
            <v>984</v>
          </cell>
          <cell r="G131">
            <v>51733013</v>
          </cell>
          <cell r="H131">
            <v>52125411</v>
          </cell>
          <cell r="I131">
            <v>52543841</v>
          </cell>
          <cell r="J131">
            <v>52983829</v>
          </cell>
          <cell r="K131">
            <v>53437159</v>
          </cell>
          <cell r="L131">
            <v>53897154</v>
          </cell>
          <cell r="M131">
            <v>54363426</v>
          </cell>
          <cell r="N131">
            <v>54836483</v>
          </cell>
          <cell r="O131">
            <v>55311238</v>
          </cell>
          <cell r="P131">
            <v>55781479</v>
          </cell>
          <cell r="Q131">
            <v>56242419</v>
          </cell>
          <cell r="R131">
            <v>56691240</v>
          </cell>
          <cell r="S131">
            <v>57127581</v>
          </cell>
          <cell r="T131">
            <v>57552200</v>
          </cell>
          <cell r="U131">
            <v>57967088</v>
          </cell>
          <cell r="V131">
            <v>58373480</v>
          </cell>
          <cell r="W131" t="str">
            <v>MMR</v>
          </cell>
          <cell r="X131"/>
          <cell r="Y131"/>
          <cell r="Z131"/>
          <cell r="AA131"/>
          <cell r="AB131"/>
          <cell r="AC131"/>
          <cell r="AD131"/>
        </row>
        <row r="132">
          <cell r="A132" t="str">
            <v>Namibia</v>
          </cell>
          <cell r="B132" t="str">
            <v>NAM</v>
          </cell>
          <cell r="C132" t="str">
            <v>NAM</v>
          </cell>
          <cell r="D132" t="str">
            <v>AFRhigh</v>
          </cell>
          <cell r="E132" t="str">
            <v>Namibia Dollar</v>
          </cell>
          <cell r="F132">
            <v>11</v>
          </cell>
          <cell r="G132">
            <v>2193643</v>
          </cell>
          <cell r="H132">
            <v>2240161</v>
          </cell>
          <cell r="I132">
            <v>2291645</v>
          </cell>
          <cell r="J132">
            <v>2346592</v>
          </cell>
          <cell r="K132">
            <v>2402858</v>
          </cell>
          <cell r="L132">
            <v>2458830</v>
          </cell>
          <cell r="M132">
            <v>2513981</v>
          </cell>
          <cell r="N132">
            <v>2568569</v>
          </cell>
          <cell r="O132">
            <v>2622723</v>
          </cell>
          <cell r="P132">
            <v>2676831</v>
          </cell>
          <cell r="Q132">
            <v>2731165</v>
          </cell>
          <cell r="R132">
            <v>2785618</v>
          </cell>
          <cell r="S132">
            <v>2839951</v>
          </cell>
          <cell r="T132">
            <v>2894182</v>
          </cell>
          <cell r="U132">
            <v>2948354</v>
          </cell>
          <cell r="V132">
            <v>3002495</v>
          </cell>
          <cell r="W132" t="str">
            <v>NAM</v>
          </cell>
          <cell r="X132"/>
          <cell r="Y132"/>
          <cell r="Z132"/>
          <cell r="AA132"/>
          <cell r="AB132"/>
          <cell r="AC132"/>
          <cell r="AD132"/>
        </row>
        <row r="133">
          <cell r="A133" t="str">
            <v>Nauru</v>
          </cell>
          <cell r="B133" t="str">
            <v>NRU</v>
          </cell>
          <cell r="C133" t="str">
            <v>NRU</v>
          </cell>
          <cell r="D133" t="str">
            <v>WPR</v>
          </cell>
          <cell r="E133">
            <v>0</v>
          </cell>
          <cell r="F133" t="e">
            <v>#N/A</v>
          </cell>
          <cell r="G133">
            <v>10025</v>
          </cell>
          <cell r="H133">
            <v>10043</v>
          </cell>
          <cell r="I133">
            <v>10079</v>
          </cell>
          <cell r="J133">
            <v>10125</v>
          </cell>
          <cell r="K133">
            <v>10176</v>
          </cell>
          <cell r="L133">
            <v>10222</v>
          </cell>
          <cell r="M133">
            <v>10263</v>
          </cell>
          <cell r="N133">
            <v>10301</v>
          </cell>
          <cell r="O133">
            <v>10336</v>
          </cell>
          <cell r="P133">
            <v>10371</v>
          </cell>
          <cell r="Q133">
            <v>10407</v>
          </cell>
          <cell r="R133">
            <v>10445</v>
          </cell>
          <cell r="S133">
            <v>10483</v>
          </cell>
          <cell r="T133">
            <v>10520</v>
          </cell>
          <cell r="U133">
            <v>10555</v>
          </cell>
          <cell r="V133">
            <v>10587</v>
          </cell>
          <cell r="W133" t="str">
            <v>NRU</v>
          </cell>
          <cell r="X133"/>
          <cell r="Y133"/>
          <cell r="Z133"/>
          <cell r="AA133"/>
          <cell r="AB133"/>
          <cell r="AC133"/>
          <cell r="AD133"/>
        </row>
        <row r="134">
          <cell r="A134" t="str">
            <v>Nepal</v>
          </cell>
          <cell r="B134" t="str">
            <v>NPL</v>
          </cell>
          <cell r="C134" t="str">
            <v>NEP</v>
          </cell>
          <cell r="D134" t="str">
            <v>SEAR</v>
          </cell>
          <cell r="E134" t="str">
            <v>Rupee</v>
          </cell>
          <cell r="F134">
            <v>100</v>
          </cell>
          <cell r="G134">
            <v>26875910</v>
          </cell>
          <cell r="H134">
            <v>27179237</v>
          </cell>
          <cell r="I134">
            <v>27500515</v>
          </cell>
          <cell r="J134">
            <v>27834981</v>
          </cell>
          <cell r="K134">
            <v>28174724</v>
          </cell>
          <cell r="L134">
            <v>28513700</v>
          </cell>
          <cell r="M134">
            <v>28850717</v>
          </cell>
          <cell r="N134">
            <v>29187037</v>
          </cell>
          <cell r="O134">
            <v>29521803</v>
          </cell>
          <cell r="P134">
            <v>29854469</v>
          </cell>
          <cell r="Q134">
            <v>30184365</v>
          </cell>
          <cell r="R134">
            <v>30510569</v>
          </cell>
          <cell r="S134">
            <v>30831882</v>
          </cell>
          <cell r="T134">
            <v>31147083</v>
          </cell>
          <cell r="U134">
            <v>31454880</v>
          </cell>
          <cell r="V134">
            <v>31754191</v>
          </cell>
          <cell r="W134" t="str">
            <v>NPL</v>
          </cell>
          <cell r="X134"/>
          <cell r="Y134"/>
          <cell r="Z134"/>
          <cell r="AA134"/>
          <cell r="AB134"/>
          <cell r="AC134"/>
          <cell r="AD134"/>
        </row>
        <row r="135">
          <cell r="A135" t="str">
            <v>Netherlands</v>
          </cell>
          <cell r="B135" t="str">
            <v>NLD</v>
          </cell>
          <cell r="C135" t="str">
            <v>NET</v>
          </cell>
          <cell r="D135" t="str">
            <v>EME</v>
          </cell>
          <cell r="E135">
            <v>0</v>
          </cell>
          <cell r="F135">
            <v>0</v>
          </cell>
          <cell r="G135">
            <v>16631571</v>
          </cell>
          <cell r="H135">
            <v>16689863</v>
          </cell>
          <cell r="I135">
            <v>16749318</v>
          </cell>
          <cell r="J135">
            <v>16809157</v>
          </cell>
          <cell r="K135">
            <v>16868020</v>
          </cell>
          <cell r="L135">
            <v>16924929</v>
          </cell>
          <cell r="M135">
            <v>16979729</v>
          </cell>
          <cell r="N135">
            <v>17032845</v>
          </cell>
          <cell r="O135">
            <v>17084531</v>
          </cell>
          <cell r="P135">
            <v>17135198</v>
          </cell>
          <cell r="Q135">
            <v>17185112</v>
          </cell>
          <cell r="R135">
            <v>17234254</v>
          </cell>
          <cell r="S135">
            <v>17282395</v>
          </cell>
          <cell r="T135">
            <v>17329333</v>
          </cell>
          <cell r="U135">
            <v>17374786</v>
          </cell>
          <cell r="V135">
            <v>17418496</v>
          </cell>
          <cell r="W135" t="str">
            <v>NLD</v>
          </cell>
          <cell r="X135"/>
          <cell r="Y135"/>
          <cell r="Z135"/>
          <cell r="AA135"/>
          <cell r="AB135"/>
          <cell r="AC135"/>
          <cell r="AD135"/>
        </row>
        <row r="136">
          <cell r="A136" t="str">
            <v>New Caledonia</v>
          </cell>
          <cell r="B136" t="str">
            <v>NCL</v>
          </cell>
          <cell r="C136" t="str">
            <v>NEC</v>
          </cell>
          <cell r="D136" t="str">
            <v>WPR</v>
          </cell>
          <cell r="E136">
            <v>0</v>
          </cell>
          <cell r="F136">
            <v>90</v>
          </cell>
          <cell r="G136">
            <v>246345</v>
          </cell>
          <cell r="H136">
            <v>249755</v>
          </cell>
          <cell r="I136">
            <v>253129</v>
          </cell>
          <cell r="J136">
            <v>256473</v>
          </cell>
          <cell r="K136">
            <v>259800</v>
          </cell>
          <cell r="L136">
            <v>263118</v>
          </cell>
          <cell r="M136">
            <v>266431</v>
          </cell>
          <cell r="N136">
            <v>269736</v>
          </cell>
          <cell r="O136">
            <v>273032</v>
          </cell>
          <cell r="P136">
            <v>276314</v>
          </cell>
          <cell r="Q136">
            <v>279577</v>
          </cell>
          <cell r="R136">
            <v>282821</v>
          </cell>
          <cell r="S136">
            <v>286046</v>
          </cell>
          <cell r="T136">
            <v>289252</v>
          </cell>
          <cell r="U136">
            <v>292435</v>
          </cell>
          <cell r="V136">
            <v>295594</v>
          </cell>
          <cell r="W136" t="str">
            <v>NCL</v>
          </cell>
          <cell r="X136"/>
          <cell r="Y136"/>
          <cell r="Z136"/>
          <cell r="AA136"/>
          <cell r="AB136"/>
          <cell r="AC136"/>
          <cell r="AD136"/>
        </row>
        <row r="137">
          <cell r="A137" t="str">
            <v>New Zealand</v>
          </cell>
          <cell r="B137" t="str">
            <v>NZL</v>
          </cell>
          <cell r="C137" t="str">
            <v>NEZ</v>
          </cell>
          <cell r="D137" t="str">
            <v>EME</v>
          </cell>
          <cell r="E137">
            <v>0</v>
          </cell>
          <cell r="F137">
            <v>1</v>
          </cell>
          <cell r="G137">
            <v>4369027</v>
          </cell>
          <cell r="H137">
            <v>4404483</v>
          </cell>
          <cell r="I137">
            <v>4435883</v>
          </cell>
          <cell r="J137">
            <v>4465276</v>
          </cell>
          <cell r="K137">
            <v>4495482</v>
          </cell>
          <cell r="L137">
            <v>4528526</v>
          </cell>
          <cell r="M137">
            <v>4565185</v>
          </cell>
          <cell r="N137">
            <v>4604871</v>
          </cell>
          <cell r="O137">
            <v>4646548</v>
          </cell>
          <cell r="P137">
            <v>4688557</v>
          </cell>
          <cell r="Q137">
            <v>4729667</v>
          </cell>
          <cell r="R137">
            <v>4769620</v>
          </cell>
          <cell r="S137">
            <v>4808771</v>
          </cell>
          <cell r="T137">
            <v>4847220</v>
          </cell>
          <cell r="U137">
            <v>4885217</v>
          </cell>
          <cell r="V137">
            <v>4922923</v>
          </cell>
          <cell r="W137" t="str">
            <v>NZL</v>
          </cell>
          <cell r="X137"/>
          <cell r="Y137"/>
          <cell r="Z137"/>
          <cell r="AA137"/>
          <cell r="AB137"/>
          <cell r="AC137"/>
          <cell r="AD137"/>
        </row>
        <row r="138">
          <cell r="A138" t="str">
            <v>Nicaragua</v>
          </cell>
          <cell r="B138" t="str">
            <v>NIC</v>
          </cell>
          <cell r="C138" t="str">
            <v>NIC</v>
          </cell>
          <cell r="D138" t="str">
            <v>LAC</v>
          </cell>
          <cell r="E138" t="str">
            <v>Cordoba</v>
          </cell>
          <cell r="F138">
            <v>26</v>
          </cell>
          <cell r="G138">
            <v>5737722</v>
          </cell>
          <cell r="H138">
            <v>5807787</v>
          </cell>
          <cell r="I138">
            <v>5877034</v>
          </cell>
          <cell r="J138">
            <v>5945646</v>
          </cell>
          <cell r="K138">
            <v>6013913</v>
          </cell>
          <cell r="L138">
            <v>6082032</v>
          </cell>
          <cell r="M138">
            <v>6150035</v>
          </cell>
          <cell r="N138">
            <v>6217796</v>
          </cell>
          <cell r="O138">
            <v>6285172</v>
          </cell>
          <cell r="P138">
            <v>6351956</v>
          </cell>
          <cell r="Q138">
            <v>6417990</v>
          </cell>
          <cell r="R138">
            <v>6483213</v>
          </cell>
          <cell r="S138">
            <v>6547634</v>
          </cell>
          <cell r="T138">
            <v>6611248</v>
          </cell>
          <cell r="U138">
            <v>6674072</v>
          </cell>
          <cell r="V138">
            <v>6736108</v>
          </cell>
          <cell r="W138" t="str">
            <v>NIC</v>
          </cell>
          <cell r="X138"/>
          <cell r="Y138"/>
          <cell r="Z138"/>
          <cell r="AA138"/>
          <cell r="AB138"/>
          <cell r="AC138"/>
          <cell r="AD138"/>
        </row>
        <row r="139">
          <cell r="A139" t="str">
            <v>Niger</v>
          </cell>
          <cell r="B139" t="str">
            <v>NER</v>
          </cell>
          <cell r="C139" t="str">
            <v>NIG</v>
          </cell>
          <cell r="D139" t="str">
            <v>AFRlow</v>
          </cell>
          <cell r="E139" t="str">
            <v>Franc</v>
          </cell>
          <cell r="F139">
            <v>494</v>
          </cell>
          <cell r="G139">
            <v>16291990</v>
          </cell>
          <cell r="H139">
            <v>16946485</v>
          </cell>
          <cell r="I139">
            <v>17635782</v>
          </cell>
          <cell r="J139">
            <v>18358863</v>
          </cell>
          <cell r="K139">
            <v>19113728</v>
          </cell>
          <cell r="L139">
            <v>19899120</v>
          </cell>
          <cell r="M139">
            <v>20715285</v>
          </cell>
          <cell r="N139">
            <v>21563607</v>
          </cell>
          <cell r="O139">
            <v>22445308</v>
          </cell>
          <cell r="P139">
            <v>23361971</v>
          </cell>
          <cell r="Q139">
            <v>24314931</v>
          </cell>
          <cell r="R139">
            <v>25304939</v>
          </cell>
          <cell r="S139">
            <v>26332388</v>
          </cell>
          <cell r="T139">
            <v>27397830</v>
          </cell>
          <cell r="U139">
            <v>28501727</v>
          </cell>
          <cell r="V139">
            <v>29644587</v>
          </cell>
          <cell r="W139" t="str">
            <v>NER</v>
          </cell>
          <cell r="X139"/>
          <cell r="Y139"/>
          <cell r="Z139"/>
          <cell r="AA139"/>
          <cell r="AB139"/>
          <cell r="AC139"/>
          <cell r="AD139"/>
        </row>
        <row r="140">
          <cell r="A140" t="str">
            <v>Nigeria</v>
          </cell>
          <cell r="B140" t="str">
            <v>NGA</v>
          </cell>
          <cell r="C140" t="str">
            <v>NIE</v>
          </cell>
          <cell r="D140" t="str">
            <v>AFRhigh</v>
          </cell>
          <cell r="E140" t="str">
            <v>Naira</v>
          </cell>
          <cell r="F140">
            <v>159</v>
          </cell>
          <cell r="G140">
            <v>159424742</v>
          </cell>
          <cell r="H140">
            <v>163770669</v>
          </cell>
          <cell r="I140">
            <v>168240403</v>
          </cell>
          <cell r="J140">
            <v>172816517</v>
          </cell>
          <cell r="K140">
            <v>177475986</v>
          </cell>
          <cell r="L140">
            <v>182201962</v>
          </cell>
          <cell r="M140">
            <v>186987563</v>
          </cell>
          <cell r="N140">
            <v>191835936</v>
          </cell>
          <cell r="O140">
            <v>196752840</v>
          </cell>
          <cell r="P140">
            <v>201748560</v>
          </cell>
          <cell r="Q140">
            <v>206830983</v>
          </cell>
          <cell r="R140">
            <v>212000669</v>
          </cell>
          <cell r="S140">
            <v>217255594</v>
          </cell>
          <cell r="T140">
            <v>222598308</v>
          </cell>
          <cell r="U140">
            <v>228031617</v>
          </cell>
          <cell r="V140">
            <v>233557691</v>
          </cell>
          <cell r="W140" t="str">
            <v>NGA</v>
          </cell>
          <cell r="X140"/>
          <cell r="Y140"/>
          <cell r="Z140"/>
          <cell r="AA140"/>
          <cell r="AB140"/>
          <cell r="AC140"/>
          <cell r="AD140"/>
        </row>
        <row r="141">
          <cell r="A141" t="str">
            <v>Niue</v>
          </cell>
          <cell r="B141" t="str">
            <v>NIU</v>
          </cell>
          <cell r="C141" t="str">
            <v>NIU</v>
          </cell>
          <cell r="D141" t="str">
            <v>WPR</v>
          </cell>
          <cell r="E141">
            <v>0</v>
          </cell>
          <cell r="F141" t="e">
            <v>#N/A</v>
          </cell>
          <cell r="G141">
            <v>1621</v>
          </cell>
          <cell r="H141">
            <v>1616</v>
          </cell>
          <cell r="I141">
            <v>1613</v>
          </cell>
          <cell r="J141">
            <v>1610</v>
          </cell>
          <cell r="K141">
            <v>1610</v>
          </cell>
          <cell r="L141">
            <v>1610</v>
          </cell>
          <cell r="M141">
            <v>1612</v>
          </cell>
          <cell r="N141">
            <v>1614</v>
          </cell>
          <cell r="O141">
            <v>1617</v>
          </cell>
          <cell r="P141">
            <v>1619</v>
          </cell>
          <cell r="Q141">
            <v>1621</v>
          </cell>
          <cell r="R141">
            <v>1621</v>
          </cell>
          <cell r="S141">
            <v>1619</v>
          </cell>
          <cell r="T141">
            <v>1618</v>
          </cell>
          <cell r="U141">
            <v>1618</v>
          </cell>
          <cell r="V141">
            <v>1620</v>
          </cell>
          <cell r="W141" t="str">
            <v>NIU</v>
          </cell>
          <cell r="X141"/>
          <cell r="Y141"/>
          <cell r="Z141"/>
          <cell r="AA141"/>
          <cell r="AB141"/>
          <cell r="AC141"/>
          <cell r="AD141"/>
        </row>
        <row r="142">
          <cell r="A142" t="str">
            <v>Northern Mariana Islands</v>
          </cell>
          <cell r="B142" t="str">
            <v>MNP</v>
          </cell>
          <cell r="C142" t="str">
            <v xml:space="preserve"> </v>
          </cell>
          <cell r="D142" t="str">
            <v>WPR</v>
          </cell>
          <cell r="E142" t="str">
            <v xml:space="preserve"> </v>
          </cell>
          <cell r="F142">
            <v>0</v>
          </cell>
          <cell r="G142">
            <v>53860</v>
          </cell>
          <cell r="H142">
            <v>53234</v>
          </cell>
          <cell r="I142">
            <v>53314</v>
          </cell>
          <cell r="J142">
            <v>53869</v>
          </cell>
          <cell r="K142">
            <v>54541</v>
          </cell>
          <cell r="L142">
            <v>55070</v>
          </cell>
          <cell r="M142">
            <v>55389</v>
          </cell>
          <cell r="N142">
            <v>55567</v>
          </cell>
          <cell r="O142">
            <v>55642</v>
          </cell>
          <cell r="P142">
            <v>55688</v>
          </cell>
          <cell r="Q142">
            <v>55762</v>
          </cell>
          <cell r="R142">
            <v>55857</v>
          </cell>
          <cell r="S142">
            <v>55940</v>
          </cell>
          <cell r="T142">
            <v>56010</v>
          </cell>
          <cell r="U142">
            <v>56067</v>
          </cell>
          <cell r="V142">
            <v>56109</v>
          </cell>
          <cell r="W142" t="str">
            <v>MNP</v>
          </cell>
          <cell r="X142"/>
          <cell r="Y142"/>
          <cell r="Z142"/>
          <cell r="AA142"/>
          <cell r="AB142"/>
          <cell r="AC142"/>
          <cell r="AD142"/>
        </row>
        <row r="143">
          <cell r="A143" t="str">
            <v>Norway</v>
          </cell>
          <cell r="B143" t="str">
            <v>NOR</v>
          </cell>
          <cell r="C143" t="str">
            <v>NOR</v>
          </cell>
          <cell r="D143" t="str">
            <v>EME</v>
          </cell>
          <cell r="E143">
            <v>0</v>
          </cell>
          <cell r="F143">
            <v>6</v>
          </cell>
          <cell r="G143">
            <v>4891251</v>
          </cell>
          <cell r="H143">
            <v>4953945</v>
          </cell>
          <cell r="I143">
            <v>5018367</v>
          </cell>
          <cell r="J143">
            <v>5083450</v>
          </cell>
          <cell r="K143">
            <v>5147970</v>
          </cell>
          <cell r="L143">
            <v>5210967</v>
          </cell>
          <cell r="M143">
            <v>5271958</v>
          </cell>
          <cell r="N143">
            <v>5330800</v>
          </cell>
          <cell r="O143">
            <v>5387342</v>
          </cell>
          <cell r="P143">
            <v>5441591</v>
          </cell>
          <cell r="Q143">
            <v>5493603</v>
          </cell>
          <cell r="R143">
            <v>5543137</v>
          </cell>
          <cell r="S143">
            <v>5590225</v>
          </cell>
          <cell r="T143">
            <v>5635563</v>
          </cell>
          <cell r="U143">
            <v>5680118</v>
          </cell>
          <cell r="V143">
            <v>5724594</v>
          </cell>
          <cell r="W143" t="str">
            <v>NOR</v>
          </cell>
          <cell r="X143"/>
          <cell r="Y143"/>
          <cell r="Z143"/>
          <cell r="AA143"/>
          <cell r="AB143"/>
          <cell r="AC143"/>
          <cell r="AD143"/>
        </row>
        <row r="144">
          <cell r="A144" t="str">
            <v>Oman</v>
          </cell>
          <cell r="B144" t="str">
            <v>OMN</v>
          </cell>
          <cell r="C144" t="str">
            <v>OMA</v>
          </cell>
          <cell r="D144" t="str">
            <v>EMR</v>
          </cell>
          <cell r="E144" t="str">
            <v>Rial</v>
          </cell>
          <cell r="F144">
            <v>0</v>
          </cell>
          <cell r="G144">
            <v>2943747</v>
          </cell>
          <cell r="H144">
            <v>3210003</v>
          </cell>
          <cell r="I144">
            <v>3545192</v>
          </cell>
          <cell r="J144">
            <v>3906912</v>
          </cell>
          <cell r="K144">
            <v>4236057</v>
          </cell>
          <cell r="L144">
            <v>4490541</v>
          </cell>
          <cell r="M144">
            <v>4654471</v>
          </cell>
          <cell r="N144">
            <v>4741305</v>
          </cell>
          <cell r="O144">
            <v>4774323</v>
          </cell>
          <cell r="P144">
            <v>4790165</v>
          </cell>
          <cell r="Q144">
            <v>4815876</v>
          </cell>
          <cell r="R144">
            <v>4857255</v>
          </cell>
          <cell r="S144">
            <v>4906327</v>
          </cell>
          <cell r="T144">
            <v>4960232</v>
          </cell>
          <cell r="U144">
            <v>5012417</v>
          </cell>
          <cell r="V144">
            <v>5058236</v>
          </cell>
          <cell r="W144" t="str">
            <v>OMN</v>
          </cell>
          <cell r="X144"/>
          <cell r="Y144"/>
          <cell r="Z144"/>
          <cell r="AA144"/>
          <cell r="AB144"/>
          <cell r="AC144"/>
          <cell r="AD144"/>
        </row>
        <row r="145">
          <cell r="A145" t="str">
            <v>Pakistan</v>
          </cell>
          <cell r="B145" t="str">
            <v>PAK</v>
          </cell>
          <cell r="C145" t="str">
            <v>PAK</v>
          </cell>
          <cell r="D145" t="str">
            <v>EMR</v>
          </cell>
          <cell r="E145" t="str">
            <v>Rupee</v>
          </cell>
          <cell r="F145">
            <v>101</v>
          </cell>
          <cell r="G145">
            <v>170043918</v>
          </cell>
          <cell r="H145">
            <v>173669648</v>
          </cell>
          <cell r="I145">
            <v>177392252</v>
          </cell>
          <cell r="J145">
            <v>181192646</v>
          </cell>
          <cell r="K145">
            <v>185044286</v>
          </cell>
          <cell r="L145">
            <v>188924874</v>
          </cell>
          <cell r="M145">
            <v>192826502</v>
          </cell>
          <cell r="N145">
            <v>196744376</v>
          </cell>
          <cell r="O145">
            <v>200662818</v>
          </cell>
          <cell r="P145">
            <v>204564744</v>
          </cell>
          <cell r="Q145">
            <v>208436583</v>
          </cell>
          <cell r="R145">
            <v>212270314</v>
          </cell>
          <cell r="S145">
            <v>216062697</v>
          </cell>
          <cell r="T145">
            <v>219811707</v>
          </cell>
          <cell r="U145">
            <v>223517871</v>
          </cell>
          <cell r="V145">
            <v>227182184</v>
          </cell>
          <cell r="W145" t="str">
            <v>PAK</v>
          </cell>
          <cell r="X145"/>
          <cell r="Y145"/>
          <cell r="Z145"/>
          <cell r="AA145"/>
          <cell r="AB145"/>
          <cell r="AC145"/>
          <cell r="AD145"/>
        </row>
        <row r="146">
          <cell r="A146" t="str">
            <v>Palau</v>
          </cell>
          <cell r="B146" t="str">
            <v>PLW</v>
          </cell>
          <cell r="C146" t="str">
            <v>BLA</v>
          </cell>
          <cell r="D146" t="str">
            <v>WPR</v>
          </cell>
          <cell r="E146">
            <v>0</v>
          </cell>
          <cell r="F146">
            <v>1</v>
          </cell>
          <cell r="G146">
            <v>20470</v>
          </cell>
          <cell r="H146">
            <v>20606</v>
          </cell>
          <cell r="I146">
            <v>20756</v>
          </cell>
          <cell r="J146">
            <v>20919</v>
          </cell>
          <cell r="K146">
            <v>21097</v>
          </cell>
          <cell r="L146">
            <v>21291</v>
          </cell>
          <cell r="M146">
            <v>21501</v>
          </cell>
          <cell r="N146">
            <v>21726</v>
          </cell>
          <cell r="O146">
            <v>21962</v>
          </cell>
          <cell r="P146">
            <v>22203</v>
          </cell>
          <cell r="Q146">
            <v>22446</v>
          </cell>
          <cell r="R146">
            <v>22688</v>
          </cell>
          <cell r="S146">
            <v>22928</v>
          </cell>
          <cell r="T146">
            <v>23167</v>
          </cell>
          <cell r="U146">
            <v>23405</v>
          </cell>
          <cell r="V146">
            <v>23642</v>
          </cell>
          <cell r="W146" t="str">
            <v>PLW</v>
          </cell>
          <cell r="X146"/>
          <cell r="Y146"/>
          <cell r="Z146"/>
          <cell r="AA146"/>
          <cell r="AB146"/>
          <cell r="AC146"/>
          <cell r="AD146"/>
        </row>
        <row r="147">
          <cell r="A147" t="str">
            <v>Panama</v>
          </cell>
          <cell r="B147" t="str">
            <v>PAN</v>
          </cell>
          <cell r="C147" t="str">
            <v>PAN</v>
          </cell>
          <cell r="D147" t="str">
            <v>LAC</v>
          </cell>
          <cell r="E147" t="str">
            <v>Balvoa</v>
          </cell>
          <cell r="F147">
            <v>1</v>
          </cell>
          <cell r="G147">
            <v>3620506</v>
          </cell>
          <cell r="H147">
            <v>3681979</v>
          </cell>
          <cell r="I147">
            <v>3743761</v>
          </cell>
          <cell r="J147">
            <v>3805683</v>
          </cell>
          <cell r="K147">
            <v>3867535</v>
          </cell>
          <cell r="L147">
            <v>3929141</v>
          </cell>
          <cell r="M147">
            <v>3990406</v>
          </cell>
          <cell r="N147">
            <v>4051284</v>
          </cell>
          <cell r="O147">
            <v>4111706</v>
          </cell>
          <cell r="P147">
            <v>4171620</v>
          </cell>
          <cell r="Q147">
            <v>4230971</v>
          </cell>
          <cell r="R147">
            <v>4289698</v>
          </cell>
          <cell r="S147">
            <v>4347735</v>
          </cell>
          <cell r="T147">
            <v>4405013</v>
          </cell>
          <cell r="U147">
            <v>4461463</v>
          </cell>
          <cell r="V147">
            <v>4517029</v>
          </cell>
          <cell r="W147" t="str">
            <v>PAN</v>
          </cell>
          <cell r="X147"/>
          <cell r="Y147"/>
          <cell r="Z147"/>
          <cell r="AA147"/>
          <cell r="AB147"/>
          <cell r="AC147"/>
          <cell r="AD147"/>
        </row>
        <row r="148">
          <cell r="A148" t="str">
            <v>Papua New Guinea</v>
          </cell>
          <cell r="B148" t="str">
            <v>PNG</v>
          </cell>
          <cell r="C148" t="str">
            <v>PNG</v>
          </cell>
          <cell r="D148" t="str">
            <v>WPR</v>
          </cell>
          <cell r="E148" t="str">
            <v>Kina</v>
          </cell>
          <cell r="F148">
            <v>2</v>
          </cell>
          <cell r="G148">
            <v>6847517</v>
          </cell>
          <cell r="H148">
            <v>7001172</v>
          </cell>
          <cell r="I148">
            <v>7154870</v>
          </cell>
          <cell r="J148">
            <v>7308864</v>
          </cell>
          <cell r="K148">
            <v>7463577</v>
          </cell>
          <cell r="L148">
            <v>7619321</v>
          </cell>
          <cell r="M148">
            <v>7776115</v>
          </cell>
          <cell r="N148">
            <v>7933841</v>
          </cell>
          <cell r="O148">
            <v>8092518</v>
          </cell>
          <cell r="P148">
            <v>8252150</v>
          </cell>
          <cell r="Q148">
            <v>8412725</v>
          </cell>
          <cell r="R148">
            <v>8574231</v>
          </cell>
          <cell r="S148">
            <v>8736630</v>
          </cell>
          <cell r="T148">
            <v>8899840</v>
          </cell>
          <cell r="U148">
            <v>9063755</v>
          </cell>
          <cell r="V148">
            <v>9228269</v>
          </cell>
          <cell r="W148" t="str">
            <v>PNG</v>
          </cell>
          <cell r="X148"/>
          <cell r="Y148"/>
          <cell r="Z148"/>
          <cell r="AA148"/>
          <cell r="AB148"/>
          <cell r="AC148"/>
          <cell r="AD148"/>
        </row>
        <row r="149">
          <cell r="A149" t="str">
            <v>Paraguay</v>
          </cell>
          <cell r="B149" t="str">
            <v>PRY</v>
          </cell>
          <cell r="C149" t="str">
            <v>PAR</v>
          </cell>
          <cell r="D149" t="str">
            <v>LAC</v>
          </cell>
          <cell r="E149" t="str">
            <v>Guaranies</v>
          </cell>
          <cell r="F149">
            <v>4462</v>
          </cell>
          <cell r="G149">
            <v>6209877</v>
          </cell>
          <cell r="H149">
            <v>6293763</v>
          </cell>
          <cell r="I149">
            <v>6379162</v>
          </cell>
          <cell r="J149">
            <v>6465669</v>
          </cell>
          <cell r="K149">
            <v>6552518</v>
          </cell>
          <cell r="L149">
            <v>6639123</v>
          </cell>
          <cell r="M149">
            <v>6725430</v>
          </cell>
          <cell r="N149">
            <v>6811583</v>
          </cell>
          <cell r="O149">
            <v>6897385</v>
          </cell>
          <cell r="P149">
            <v>6982621</v>
          </cell>
          <cell r="Q149">
            <v>7067097</v>
          </cell>
          <cell r="R149">
            <v>7150689</v>
          </cell>
          <cell r="S149">
            <v>7233290</v>
          </cell>
          <cell r="T149">
            <v>7314758</v>
          </cell>
          <cell r="U149">
            <v>7394952</v>
          </cell>
          <cell r="V149">
            <v>7473756</v>
          </cell>
          <cell r="W149" t="str">
            <v>PRY</v>
          </cell>
          <cell r="X149"/>
          <cell r="Y149"/>
          <cell r="Z149"/>
          <cell r="AA149"/>
          <cell r="AB149"/>
          <cell r="AC149"/>
          <cell r="AD149"/>
        </row>
        <row r="150">
          <cell r="A150" t="str">
            <v>Peru</v>
          </cell>
          <cell r="B150" t="str">
            <v>PER</v>
          </cell>
          <cell r="C150" t="str">
            <v>PER</v>
          </cell>
          <cell r="D150" t="str">
            <v>LAC</v>
          </cell>
          <cell r="E150" t="str">
            <v>Nuevo</v>
          </cell>
          <cell r="F150">
            <v>3</v>
          </cell>
          <cell r="G150">
            <v>29373644</v>
          </cell>
          <cell r="H150">
            <v>29759891</v>
          </cell>
          <cell r="I150">
            <v>30158768</v>
          </cell>
          <cell r="J150">
            <v>30565461</v>
          </cell>
          <cell r="K150">
            <v>30973148</v>
          </cell>
          <cell r="L150">
            <v>31376670</v>
          </cell>
          <cell r="M150">
            <v>31774225</v>
          </cell>
          <cell r="N150">
            <v>32166473</v>
          </cell>
          <cell r="O150">
            <v>32553697</v>
          </cell>
          <cell r="P150">
            <v>32937002</v>
          </cell>
          <cell r="Q150">
            <v>33317111</v>
          </cell>
          <cell r="R150">
            <v>33693514</v>
          </cell>
          <cell r="S150">
            <v>34065282</v>
          </cell>
          <cell r="T150">
            <v>34432300</v>
          </cell>
          <cell r="U150">
            <v>34794530</v>
          </cell>
          <cell r="V150">
            <v>35151871</v>
          </cell>
          <cell r="W150" t="str">
            <v>PER</v>
          </cell>
          <cell r="X150"/>
          <cell r="Y150"/>
          <cell r="Z150"/>
          <cell r="AA150"/>
          <cell r="AB150"/>
          <cell r="AC150"/>
          <cell r="AD150"/>
        </row>
        <row r="151">
          <cell r="A151" t="str">
            <v>Philippines</v>
          </cell>
          <cell r="B151" t="str">
            <v>PHL</v>
          </cell>
          <cell r="C151" t="str">
            <v>PHL</v>
          </cell>
          <cell r="D151" t="str">
            <v>WPR</v>
          </cell>
          <cell r="E151" t="str">
            <v>Peso</v>
          </cell>
          <cell r="F151">
            <v>44</v>
          </cell>
          <cell r="G151">
            <v>93038902</v>
          </cell>
          <cell r="H151">
            <v>94501233</v>
          </cell>
          <cell r="I151">
            <v>96017322</v>
          </cell>
          <cell r="J151">
            <v>97571676</v>
          </cell>
          <cell r="K151">
            <v>99138690</v>
          </cell>
          <cell r="L151">
            <v>100699395</v>
          </cell>
          <cell r="M151">
            <v>102250133</v>
          </cell>
          <cell r="N151">
            <v>103796832</v>
          </cell>
          <cell r="O151">
            <v>105341062</v>
          </cell>
          <cell r="P151">
            <v>106886636</v>
          </cell>
          <cell r="Q151">
            <v>108435788</v>
          </cell>
          <cell r="R151">
            <v>109987520</v>
          </cell>
          <cell r="S151">
            <v>111538333</v>
          </cell>
          <cell r="T151">
            <v>113085083</v>
          </cell>
          <cell r="U151">
            <v>114623849</v>
          </cell>
          <cell r="V151">
            <v>116151399</v>
          </cell>
          <cell r="W151" t="str">
            <v>PHL</v>
          </cell>
          <cell r="X151"/>
          <cell r="Y151"/>
          <cell r="Z151"/>
          <cell r="AA151"/>
          <cell r="AB151"/>
          <cell r="AC151"/>
          <cell r="AD151"/>
        </row>
        <row r="152">
          <cell r="A152" t="str">
            <v>Poland</v>
          </cell>
          <cell r="B152" t="str">
            <v>POL</v>
          </cell>
          <cell r="C152" t="str">
            <v>POL</v>
          </cell>
          <cell r="D152" t="str">
            <v>CEUR</v>
          </cell>
          <cell r="E152">
            <v>0</v>
          </cell>
          <cell r="F152">
            <v>3</v>
          </cell>
          <cell r="G152">
            <v>38574682</v>
          </cell>
          <cell r="H152">
            <v>38594217</v>
          </cell>
          <cell r="I152">
            <v>38609486</v>
          </cell>
          <cell r="J152">
            <v>38618698</v>
          </cell>
          <cell r="K152">
            <v>38619974</v>
          </cell>
          <cell r="L152">
            <v>38611794</v>
          </cell>
          <cell r="M152">
            <v>38593161</v>
          </cell>
          <cell r="N152">
            <v>38563573</v>
          </cell>
          <cell r="O152">
            <v>38522728</v>
          </cell>
          <cell r="P152">
            <v>38470612</v>
          </cell>
          <cell r="Q152">
            <v>38407266</v>
          </cell>
          <cell r="R152">
            <v>38332391</v>
          </cell>
          <cell r="S152">
            <v>38245906</v>
          </cell>
          <cell r="T152">
            <v>38148414</v>
          </cell>
          <cell r="U152">
            <v>38040799</v>
          </cell>
          <cell r="V152">
            <v>37923792</v>
          </cell>
          <cell r="W152" t="str">
            <v>POL</v>
          </cell>
          <cell r="X152"/>
          <cell r="Y152"/>
          <cell r="Z152"/>
          <cell r="AA152"/>
          <cell r="AB152"/>
          <cell r="AC152"/>
          <cell r="AD152"/>
        </row>
        <row r="153">
          <cell r="A153" t="str">
            <v>Portugal</v>
          </cell>
          <cell r="B153" t="str">
            <v>PRT</v>
          </cell>
          <cell r="C153" t="str">
            <v>POR</v>
          </cell>
          <cell r="D153" t="str">
            <v>EME</v>
          </cell>
          <cell r="E153">
            <v>0</v>
          </cell>
          <cell r="F153">
            <v>0</v>
          </cell>
          <cell r="G153">
            <v>10584837</v>
          </cell>
          <cell r="H153">
            <v>10558909</v>
          </cell>
          <cell r="I153">
            <v>10515016</v>
          </cell>
          <cell r="J153">
            <v>10459716</v>
          </cell>
          <cell r="K153">
            <v>10402343</v>
          </cell>
          <cell r="L153">
            <v>10349803</v>
          </cell>
          <cell r="M153">
            <v>10304434</v>
          </cell>
          <cell r="N153">
            <v>10264797</v>
          </cell>
          <cell r="O153">
            <v>10229432</v>
          </cell>
          <cell r="P153">
            <v>10195466</v>
          </cell>
          <cell r="Q153">
            <v>10160830</v>
          </cell>
          <cell r="R153">
            <v>10125558</v>
          </cell>
          <cell r="S153">
            <v>10090753</v>
          </cell>
          <cell r="T153">
            <v>10056583</v>
          </cell>
          <cell r="U153">
            <v>10023336</v>
          </cell>
          <cell r="V153">
            <v>9991209</v>
          </cell>
          <cell r="W153" t="str">
            <v>PRT</v>
          </cell>
          <cell r="X153"/>
          <cell r="Y153"/>
          <cell r="Z153"/>
          <cell r="AA153"/>
          <cell r="AB153"/>
          <cell r="AC153"/>
          <cell r="AD153"/>
        </row>
        <row r="154">
          <cell r="A154" t="str">
            <v>Puerto Rico</v>
          </cell>
          <cell r="B154" t="str">
            <v>PRI</v>
          </cell>
          <cell r="C154" t="str">
            <v>PUR</v>
          </cell>
          <cell r="D154" t="str">
            <v>LAC</v>
          </cell>
          <cell r="E154">
            <v>0</v>
          </cell>
          <cell r="F154">
            <v>0</v>
          </cell>
          <cell r="G154">
            <v>3709671</v>
          </cell>
          <cell r="H154">
            <v>3701997</v>
          </cell>
          <cell r="I154">
            <v>3695674</v>
          </cell>
          <cell r="J154">
            <v>3690591</v>
          </cell>
          <cell r="K154">
            <v>3686517</v>
          </cell>
          <cell r="L154">
            <v>3683238</v>
          </cell>
          <cell r="M154">
            <v>3680772</v>
          </cell>
          <cell r="N154">
            <v>3679086</v>
          </cell>
          <cell r="O154">
            <v>3677835</v>
          </cell>
          <cell r="P154">
            <v>3676577</v>
          </cell>
          <cell r="Q154">
            <v>3674977</v>
          </cell>
          <cell r="R154">
            <v>3672846</v>
          </cell>
          <cell r="S154">
            <v>3670190</v>
          </cell>
          <cell r="T154">
            <v>3667112</v>
          </cell>
          <cell r="U154">
            <v>3663812</v>
          </cell>
          <cell r="V154">
            <v>3660411</v>
          </cell>
          <cell r="W154" t="str">
            <v>PRI</v>
          </cell>
          <cell r="X154"/>
          <cell r="Y154"/>
          <cell r="Z154"/>
          <cell r="AA154"/>
          <cell r="AB154"/>
          <cell r="AC154"/>
          <cell r="AD154"/>
        </row>
        <row r="155">
          <cell r="A155" t="str">
            <v>Qatar</v>
          </cell>
          <cell r="B155" t="str">
            <v>QAT</v>
          </cell>
          <cell r="C155" t="str">
            <v>QAT</v>
          </cell>
          <cell r="D155" t="str">
            <v>EMR</v>
          </cell>
          <cell r="E155">
            <v>0</v>
          </cell>
          <cell r="F155">
            <v>4</v>
          </cell>
          <cell r="G155">
            <v>1765513</v>
          </cell>
          <cell r="H155">
            <v>1905437</v>
          </cell>
          <cell r="I155">
            <v>2015624</v>
          </cell>
          <cell r="J155">
            <v>2101288</v>
          </cell>
          <cell r="K155">
            <v>2172065</v>
          </cell>
          <cell r="L155">
            <v>2235355</v>
          </cell>
          <cell r="M155">
            <v>2291368</v>
          </cell>
          <cell r="N155">
            <v>2338085</v>
          </cell>
          <cell r="O155">
            <v>2378373</v>
          </cell>
          <cell r="P155">
            <v>2415567</v>
          </cell>
          <cell r="Q155">
            <v>2452180</v>
          </cell>
          <cell r="R155">
            <v>2489837</v>
          </cell>
          <cell r="S155">
            <v>2528646</v>
          </cell>
          <cell r="T155">
            <v>2567659</v>
          </cell>
          <cell r="U155">
            <v>2605060</v>
          </cell>
          <cell r="V155">
            <v>2639581</v>
          </cell>
          <cell r="W155" t="str">
            <v>QAT</v>
          </cell>
          <cell r="X155"/>
          <cell r="Y155"/>
          <cell r="Z155"/>
          <cell r="AA155"/>
          <cell r="AB155"/>
          <cell r="AC155"/>
          <cell r="AD155"/>
        </row>
        <row r="156">
          <cell r="A156" t="str">
            <v>Republic of Korea</v>
          </cell>
          <cell r="B156" t="str">
            <v>KOR</v>
          </cell>
          <cell r="C156" t="str">
            <v>KOR</v>
          </cell>
          <cell r="D156" t="str">
            <v>WPR</v>
          </cell>
          <cell r="E156">
            <v>0</v>
          </cell>
          <cell r="F156">
            <v>1053</v>
          </cell>
          <cell r="G156">
            <v>49090041</v>
          </cell>
          <cell r="H156">
            <v>49356692</v>
          </cell>
          <cell r="I156">
            <v>49608451</v>
          </cell>
          <cell r="J156">
            <v>49846756</v>
          </cell>
          <cell r="K156">
            <v>50074401</v>
          </cell>
          <cell r="L156">
            <v>50293439</v>
          </cell>
          <cell r="M156">
            <v>50503933</v>
          </cell>
          <cell r="N156">
            <v>50704971</v>
          </cell>
          <cell r="O156">
            <v>50896594</v>
          </cell>
          <cell r="P156">
            <v>51078755</v>
          </cell>
          <cell r="Q156">
            <v>51251486</v>
          </cell>
          <cell r="R156">
            <v>51414478</v>
          </cell>
          <cell r="S156">
            <v>51567916</v>
          </cell>
          <cell r="T156">
            <v>51712865</v>
          </cell>
          <cell r="U156">
            <v>51850740</v>
          </cell>
          <cell r="V156">
            <v>51982344</v>
          </cell>
          <cell r="W156" t="str">
            <v>KOR</v>
          </cell>
          <cell r="X156"/>
          <cell r="Y156"/>
          <cell r="Z156"/>
          <cell r="AA156"/>
          <cell r="AB156"/>
          <cell r="AC156"/>
          <cell r="AD156"/>
        </row>
        <row r="157">
          <cell r="A157" t="str">
            <v>Republic of Moldova</v>
          </cell>
          <cell r="B157" t="str">
            <v>MDA</v>
          </cell>
          <cell r="C157" t="str">
            <v>MDA</v>
          </cell>
          <cell r="D157" t="str">
            <v>EEUR</v>
          </cell>
          <cell r="E157">
            <v>0</v>
          </cell>
          <cell r="F157">
            <v>14</v>
          </cell>
          <cell r="G157">
            <v>4084483</v>
          </cell>
          <cell r="H157">
            <v>4077811</v>
          </cell>
          <cell r="I157">
            <v>4074754</v>
          </cell>
          <cell r="J157">
            <v>4073714</v>
          </cell>
          <cell r="K157">
            <v>4072340</v>
          </cell>
          <cell r="L157">
            <v>4068897</v>
          </cell>
          <cell r="M157">
            <v>4062862</v>
          </cell>
          <cell r="N157">
            <v>4054640</v>
          </cell>
          <cell r="O157">
            <v>4044534</v>
          </cell>
          <cell r="P157">
            <v>4033167</v>
          </cell>
          <cell r="Q157">
            <v>4020988</v>
          </cell>
          <cell r="R157">
            <v>4007976</v>
          </cell>
          <cell r="S157">
            <v>3993879</v>
          </cell>
          <cell r="T157">
            <v>3978654</v>
          </cell>
          <cell r="U157">
            <v>3962239</v>
          </cell>
          <cell r="V157">
            <v>3944590</v>
          </cell>
          <cell r="W157" t="str">
            <v>MDA</v>
          </cell>
          <cell r="X157"/>
          <cell r="Y157"/>
          <cell r="Z157"/>
          <cell r="AA157"/>
          <cell r="AB157"/>
          <cell r="AC157"/>
          <cell r="AD157"/>
        </row>
        <row r="158">
          <cell r="A158" t="str">
            <v>Romania</v>
          </cell>
          <cell r="B158" t="str">
            <v>ROU</v>
          </cell>
          <cell r="C158" t="str">
            <v>ROM</v>
          </cell>
          <cell r="D158" t="str">
            <v>EEUR</v>
          </cell>
          <cell r="E158">
            <v>0</v>
          </cell>
          <cell r="F158">
            <v>3</v>
          </cell>
          <cell r="G158">
            <v>20298838</v>
          </cell>
          <cell r="H158">
            <v>20111664</v>
          </cell>
          <cell r="I158">
            <v>19944954</v>
          </cell>
          <cell r="J158">
            <v>19794163</v>
          </cell>
          <cell r="K158">
            <v>19651554</v>
          </cell>
          <cell r="L158">
            <v>19511324</v>
          </cell>
          <cell r="M158">
            <v>19372734</v>
          </cell>
          <cell r="N158">
            <v>19237513</v>
          </cell>
          <cell r="O158">
            <v>19105089</v>
          </cell>
          <cell r="P158">
            <v>18975181</v>
          </cell>
          <cell r="Q158">
            <v>18847505</v>
          </cell>
          <cell r="R158">
            <v>18721391</v>
          </cell>
          <cell r="S158">
            <v>18596308</v>
          </cell>
          <cell r="T158">
            <v>18472356</v>
          </cell>
          <cell r="U158">
            <v>18349863</v>
          </cell>
          <cell r="V158">
            <v>18229006</v>
          </cell>
          <cell r="W158" t="str">
            <v>ROU</v>
          </cell>
          <cell r="X158"/>
          <cell r="Y158"/>
          <cell r="Z158"/>
          <cell r="AA158"/>
          <cell r="AB158"/>
          <cell r="AC158"/>
          <cell r="AD158"/>
        </row>
        <row r="159">
          <cell r="A159" t="str">
            <v>Russian Federation</v>
          </cell>
          <cell r="B159" t="str">
            <v>RUS</v>
          </cell>
          <cell r="C159" t="str">
            <v>RUS</v>
          </cell>
          <cell r="D159" t="str">
            <v>EEUR</v>
          </cell>
          <cell r="E159">
            <v>0</v>
          </cell>
          <cell r="F159">
            <v>38</v>
          </cell>
          <cell r="G159">
            <v>143158099</v>
          </cell>
          <cell r="H159">
            <v>143211476</v>
          </cell>
          <cell r="I159">
            <v>143287536</v>
          </cell>
          <cell r="J159">
            <v>143367341</v>
          </cell>
          <cell r="K159">
            <v>143429435</v>
          </cell>
          <cell r="L159">
            <v>143456918</v>
          </cell>
          <cell r="M159">
            <v>143439832</v>
          </cell>
          <cell r="N159">
            <v>143375006</v>
          </cell>
          <cell r="O159">
            <v>143261490</v>
          </cell>
          <cell r="P159">
            <v>143101836</v>
          </cell>
          <cell r="Q159">
            <v>142898124</v>
          </cell>
          <cell r="R159">
            <v>142648374</v>
          </cell>
          <cell r="S159">
            <v>142350640</v>
          </cell>
          <cell r="T159">
            <v>142007915</v>
          </cell>
          <cell r="U159">
            <v>141624738</v>
          </cell>
          <cell r="V159">
            <v>141205239</v>
          </cell>
          <cell r="W159" t="str">
            <v>RUS</v>
          </cell>
          <cell r="X159"/>
          <cell r="Y159"/>
          <cell r="Z159"/>
          <cell r="AA159"/>
          <cell r="AB159"/>
          <cell r="AC159"/>
          <cell r="AD159"/>
        </row>
        <row r="160">
          <cell r="A160" t="str">
            <v>Rwanda</v>
          </cell>
          <cell r="B160" t="str">
            <v>RWA</v>
          </cell>
          <cell r="C160" t="str">
            <v>RWA</v>
          </cell>
          <cell r="D160" t="str">
            <v>AFRhigh</v>
          </cell>
          <cell r="E160" t="str">
            <v>Franc</v>
          </cell>
          <cell r="F160">
            <v>682</v>
          </cell>
          <cell r="G160">
            <v>10293669</v>
          </cell>
          <cell r="H160">
            <v>10556429</v>
          </cell>
          <cell r="I160">
            <v>10817350</v>
          </cell>
          <cell r="J160">
            <v>11078095</v>
          </cell>
          <cell r="K160">
            <v>11341544</v>
          </cell>
          <cell r="L160">
            <v>11609666</v>
          </cell>
          <cell r="M160">
            <v>11882766</v>
          </cell>
          <cell r="N160">
            <v>12159586</v>
          </cell>
          <cell r="O160">
            <v>12438723</v>
          </cell>
          <cell r="P160">
            <v>12718198</v>
          </cell>
          <cell r="Q160">
            <v>12996594</v>
          </cell>
          <cell r="R160">
            <v>13273410</v>
          </cell>
          <cell r="S160">
            <v>13549089</v>
          </cell>
          <cell r="T160">
            <v>13824302</v>
          </cell>
          <cell r="U160">
            <v>14100133</v>
          </cell>
          <cell r="V160">
            <v>14377389</v>
          </cell>
          <cell r="W160" t="str">
            <v>RWA</v>
          </cell>
          <cell r="X160"/>
          <cell r="Y160"/>
          <cell r="Z160"/>
          <cell r="AA160"/>
          <cell r="AB160"/>
          <cell r="AC160"/>
          <cell r="AD160"/>
        </row>
        <row r="161">
          <cell r="A161" t="str">
            <v>Saint Kitts and Nevis</v>
          </cell>
          <cell r="B161" t="str">
            <v>KNA</v>
          </cell>
          <cell r="C161" t="str">
            <v xml:space="preserve"> </v>
          </cell>
          <cell r="D161" t="str">
            <v>LAC</v>
          </cell>
          <cell r="E161" t="str">
            <v xml:space="preserve"> </v>
          </cell>
          <cell r="F161">
            <v>3</v>
          </cell>
          <cell r="G161">
            <v>52352</v>
          </cell>
          <cell r="H161">
            <v>52998</v>
          </cell>
          <cell r="I161">
            <v>53650</v>
          </cell>
          <cell r="J161">
            <v>54301</v>
          </cell>
          <cell r="K161">
            <v>54944</v>
          </cell>
          <cell r="L161">
            <v>55572</v>
          </cell>
          <cell r="M161">
            <v>56183</v>
          </cell>
          <cell r="N161">
            <v>56780</v>
          </cell>
          <cell r="O161">
            <v>57360</v>
          </cell>
          <cell r="P161">
            <v>57925</v>
          </cell>
          <cell r="Q161">
            <v>58473</v>
          </cell>
          <cell r="R161">
            <v>59005</v>
          </cell>
          <cell r="S161">
            <v>59520</v>
          </cell>
          <cell r="T161">
            <v>60018</v>
          </cell>
          <cell r="U161">
            <v>60501</v>
          </cell>
          <cell r="V161">
            <v>60969</v>
          </cell>
          <cell r="W161" t="str">
            <v>KNA</v>
          </cell>
          <cell r="X161"/>
          <cell r="Y161"/>
          <cell r="Z161"/>
          <cell r="AA161"/>
          <cell r="AB161"/>
          <cell r="AC161"/>
          <cell r="AD161"/>
        </row>
        <row r="162">
          <cell r="A162" t="str">
            <v>Saint Lucia</v>
          </cell>
          <cell r="B162" t="str">
            <v>LCA</v>
          </cell>
          <cell r="C162" t="str">
            <v>SAL</v>
          </cell>
          <cell r="D162" t="str">
            <v>LAC</v>
          </cell>
          <cell r="E162">
            <v>0</v>
          </cell>
          <cell r="F162">
            <v>3</v>
          </cell>
          <cell r="G162">
            <v>177397</v>
          </cell>
          <cell r="H162">
            <v>179278</v>
          </cell>
          <cell r="I162">
            <v>180890</v>
          </cell>
          <cell r="J162">
            <v>182305</v>
          </cell>
          <cell r="K162">
            <v>183645</v>
          </cell>
          <cell r="L162">
            <v>184999</v>
          </cell>
          <cell r="M162">
            <v>186383</v>
          </cell>
          <cell r="N162">
            <v>187768</v>
          </cell>
          <cell r="O162">
            <v>189142</v>
          </cell>
          <cell r="P162">
            <v>190481</v>
          </cell>
          <cell r="Q162">
            <v>191765</v>
          </cell>
          <cell r="R162">
            <v>192996</v>
          </cell>
          <cell r="S162">
            <v>194182</v>
          </cell>
          <cell r="T162">
            <v>195323</v>
          </cell>
          <cell r="U162">
            <v>196416</v>
          </cell>
          <cell r="V162">
            <v>197460</v>
          </cell>
          <cell r="W162" t="str">
            <v>LCA</v>
          </cell>
          <cell r="X162"/>
          <cell r="Y162"/>
          <cell r="Z162"/>
          <cell r="AA162"/>
          <cell r="AB162"/>
          <cell r="AC162"/>
          <cell r="AD162"/>
        </row>
        <row r="163">
          <cell r="A163" t="str">
            <v>Saint Vincent and the Grenadines</v>
          </cell>
          <cell r="B163" t="str">
            <v>VCT</v>
          </cell>
          <cell r="C163" t="str">
            <v xml:space="preserve"> </v>
          </cell>
          <cell r="D163" t="str">
            <v>LAC</v>
          </cell>
          <cell r="E163" t="str">
            <v xml:space="preserve"> </v>
          </cell>
          <cell r="F163">
            <v>3</v>
          </cell>
          <cell r="G163">
            <v>109316</v>
          </cell>
          <cell r="H163">
            <v>109341</v>
          </cell>
          <cell r="I163">
            <v>109334</v>
          </cell>
          <cell r="J163">
            <v>109327</v>
          </cell>
          <cell r="K163">
            <v>109360</v>
          </cell>
          <cell r="L163">
            <v>109462</v>
          </cell>
          <cell r="M163">
            <v>109644</v>
          </cell>
          <cell r="N163">
            <v>109895</v>
          </cell>
          <cell r="O163">
            <v>110186</v>
          </cell>
          <cell r="P163">
            <v>110478</v>
          </cell>
          <cell r="Q163">
            <v>110741</v>
          </cell>
          <cell r="R163">
            <v>110966</v>
          </cell>
          <cell r="S163">
            <v>111159</v>
          </cell>
          <cell r="T163">
            <v>111325</v>
          </cell>
          <cell r="U163">
            <v>111472</v>
          </cell>
          <cell r="V163">
            <v>111606</v>
          </cell>
          <cell r="W163" t="str">
            <v>VCT</v>
          </cell>
          <cell r="X163"/>
          <cell r="Y163"/>
          <cell r="Z163"/>
          <cell r="AA163"/>
          <cell r="AB163"/>
          <cell r="AC163"/>
          <cell r="AD163"/>
        </row>
        <row r="164">
          <cell r="A164" t="str">
            <v>Samoa</v>
          </cell>
          <cell r="B164" t="str">
            <v>WSM</v>
          </cell>
          <cell r="C164" t="str">
            <v>SMA</v>
          </cell>
          <cell r="D164" t="str">
            <v>WPR</v>
          </cell>
          <cell r="E164">
            <v>0</v>
          </cell>
          <cell r="F164">
            <v>2</v>
          </cell>
          <cell r="G164">
            <v>186029</v>
          </cell>
          <cell r="H164">
            <v>187434</v>
          </cell>
          <cell r="I164">
            <v>188901</v>
          </cell>
          <cell r="J164">
            <v>190390</v>
          </cell>
          <cell r="K164">
            <v>191845</v>
          </cell>
          <cell r="L164">
            <v>193228</v>
          </cell>
          <cell r="M164">
            <v>194523</v>
          </cell>
          <cell r="N164">
            <v>195743</v>
          </cell>
          <cell r="O164">
            <v>196902</v>
          </cell>
          <cell r="P164">
            <v>198032</v>
          </cell>
          <cell r="Q164">
            <v>199152</v>
          </cell>
          <cell r="R164">
            <v>200275</v>
          </cell>
          <cell r="S164">
            <v>201399</v>
          </cell>
          <cell r="T164">
            <v>202516</v>
          </cell>
          <cell r="U164">
            <v>203618</v>
          </cell>
          <cell r="V164">
            <v>204702</v>
          </cell>
          <cell r="W164" t="str">
            <v>WSM</v>
          </cell>
          <cell r="X164"/>
          <cell r="Y164"/>
          <cell r="Z164"/>
          <cell r="AA164"/>
          <cell r="AB164"/>
          <cell r="AC164"/>
          <cell r="AD164"/>
        </row>
        <row r="165">
          <cell r="A165" t="str">
            <v>San Marino</v>
          </cell>
          <cell r="B165" t="str">
            <v>SMR</v>
          </cell>
          <cell r="C165" t="str">
            <v>SMR</v>
          </cell>
          <cell r="D165" t="str">
            <v>EME</v>
          </cell>
          <cell r="E165">
            <v>0</v>
          </cell>
          <cell r="F165">
            <v>1</v>
          </cell>
          <cell r="G165">
            <v>30690</v>
          </cell>
          <cell r="H165">
            <v>30938</v>
          </cell>
          <cell r="I165">
            <v>31172</v>
          </cell>
          <cell r="J165">
            <v>31391</v>
          </cell>
          <cell r="K165">
            <v>31595</v>
          </cell>
          <cell r="L165">
            <v>31781</v>
          </cell>
          <cell r="M165">
            <v>31950</v>
          </cell>
          <cell r="N165">
            <v>32104</v>
          </cell>
          <cell r="O165">
            <v>32241</v>
          </cell>
          <cell r="P165">
            <v>32363</v>
          </cell>
          <cell r="Q165">
            <v>32473</v>
          </cell>
          <cell r="R165">
            <v>32569</v>
          </cell>
          <cell r="S165">
            <v>32653</v>
          </cell>
          <cell r="T165">
            <v>32726</v>
          </cell>
          <cell r="U165">
            <v>32794</v>
          </cell>
          <cell r="V165">
            <v>32856</v>
          </cell>
          <cell r="W165" t="str">
            <v>SMR</v>
          </cell>
          <cell r="X165"/>
          <cell r="Y165"/>
          <cell r="Z165"/>
          <cell r="AA165"/>
          <cell r="AB165"/>
          <cell r="AC165"/>
          <cell r="AD165"/>
        </row>
        <row r="166">
          <cell r="A166" t="str">
            <v>Sao Tome and Principe</v>
          </cell>
          <cell r="B166" t="str">
            <v>STP</v>
          </cell>
          <cell r="C166" t="str">
            <v xml:space="preserve"> </v>
          </cell>
          <cell r="D166" t="str">
            <v>AFRlow</v>
          </cell>
          <cell r="E166" t="str">
            <v xml:space="preserve"> </v>
          </cell>
          <cell r="F166">
            <v>18466</v>
          </cell>
          <cell r="G166">
            <v>170880</v>
          </cell>
          <cell r="H166">
            <v>174646</v>
          </cell>
          <cell r="I166">
            <v>178484</v>
          </cell>
          <cell r="J166">
            <v>182386</v>
          </cell>
          <cell r="K166">
            <v>186342</v>
          </cell>
          <cell r="L166">
            <v>190344</v>
          </cell>
          <cell r="M166">
            <v>194390</v>
          </cell>
          <cell r="N166">
            <v>198481</v>
          </cell>
          <cell r="O166">
            <v>202617</v>
          </cell>
          <cell r="P166">
            <v>206802</v>
          </cell>
          <cell r="Q166">
            <v>211039</v>
          </cell>
          <cell r="R166">
            <v>215326</v>
          </cell>
          <cell r="S166">
            <v>219660</v>
          </cell>
          <cell r="T166">
            <v>224045</v>
          </cell>
          <cell r="U166">
            <v>228485</v>
          </cell>
          <cell r="V166">
            <v>232982</v>
          </cell>
          <cell r="W166" t="str">
            <v>STP</v>
          </cell>
          <cell r="X166"/>
          <cell r="Y166"/>
          <cell r="Z166"/>
          <cell r="AA166"/>
          <cell r="AB166"/>
          <cell r="AC166"/>
          <cell r="AD166"/>
        </row>
        <row r="167">
          <cell r="A167" t="str">
            <v>Saudi Arabia</v>
          </cell>
          <cell r="B167" t="str">
            <v>SAU</v>
          </cell>
          <cell r="C167" t="str">
            <v>SAA</v>
          </cell>
          <cell r="D167" t="str">
            <v>EMR</v>
          </cell>
          <cell r="E167" t="str">
            <v>Riyal</v>
          </cell>
          <cell r="F167">
            <v>4</v>
          </cell>
          <cell r="G167">
            <v>28090647</v>
          </cell>
          <cell r="H167">
            <v>28788438</v>
          </cell>
          <cell r="I167">
            <v>29496047</v>
          </cell>
          <cell r="J167">
            <v>30201051</v>
          </cell>
          <cell r="K167">
            <v>30886545</v>
          </cell>
          <cell r="L167">
            <v>31540372</v>
          </cell>
          <cell r="M167">
            <v>32157974</v>
          </cell>
          <cell r="N167">
            <v>32742664</v>
          </cell>
          <cell r="O167">
            <v>33299935</v>
          </cell>
          <cell r="P167">
            <v>33838827</v>
          </cell>
          <cell r="Q167">
            <v>34366240</v>
          </cell>
          <cell r="R167">
            <v>34883285</v>
          </cell>
          <cell r="S167">
            <v>35388505</v>
          </cell>
          <cell r="T167">
            <v>35883352</v>
          </cell>
          <cell r="U167">
            <v>36369092</v>
          </cell>
          <cell r="V167">
            <v>36846750</v>
          </cell>
          <cell r="W167" t="str">
            <v>SAU</v>
          </cell>
          <cell r="X167"/>
          <cell r="Y167"/>
          <cell r="Z167"/>
          <cell r="AA167"/>
          <cell r="AB167"/>
          <cell r="AC167"/>
          <cell r="AD167"/>
        </row>
        <row r="168">
          <cell r="A168" t="str">
            <v>Senegal</v>
          </cell>
          <cell r="B168" t="str">
            <v>SEN</v>
          </cell>
          <cell r="C168" t="str">
            <v>SEN</v>
          </cell>
          <cell r="D168" t="str">
            <v>AFRlow</v>
          </cell>
          <cell r="E168" t="str">
            <v>Franc</v>
          </cell>
          <cell r="F168">
            <v>494</v>
          </cell>
          <cell r="G168">
            <v>12956791</v>
          </cell>
          <cell r="H168">
            <v>13357003</v>
          </cell>
          <cell r="I168">
            <v>13780108</v>
          </cell>
          <cell r="J168">
            <v>14221041</v>
          </cell>
          <cell r="K168">
            <v>14672557</v>
          </cell>
          <cell r="L168">
            <v>15129273</v>
          </cell>
          <cell r="M168">
            <v>15589485</v>
          </cell>
          <cell r="N168">
            <v>16054275</v>
          </cell>
          <cell r="O168">
            <v>16524429</v>
          </cell>
          <cell r="P168">
            <v>17001706</v>
          </cell>
          <cell r="Q168">
            <v>17487409</v>
          </cell>
          <cell r="R168">
            <v>17981447</v>
          </cell>
          <cell r="S168">
            <v>18483176</v>
          </cell>
          <cell r="T168">
            <v>18992803</v>
          </cell>
          <cell r="U168">
            <v>19510576</v>
          </cell>
          <cell r="V168">
            <v>20036744</v>
          </cell>
          <cell r="W168" t="str">
            <v>SEN</v>
          </cell>
          <cell r="X168"/>
          <cell r="Y168"/>
          <cell r="Z168"/>
          <cell r="AA168"/>
          <cell r="AB168"/>
          <cell r="AC168"/>
          <cell r="AD168"/>
        </row>
        <row r="169">
          <cell r="A169" t="str">
            <v>Serbia</v>
          </cell>
          <cell r="B169" t="str">
            <v>SRB</v>
          </cell>
          <cell r="C169" t="str">
            <v>SRB</v>
          </cell>
          <cell r="D169" t="str">
            <v>CEUR</v>
          </cell>
          <cell r="E169">
            <v>0</v>
          </cell>
          <cell r="F169">
            <v>88</v>
          </cell>
          <cell r="G169">
            <v>9059046</v>
          </cell>
          <cell r="H169">
            <v>9023881</v>
          </cell>
          <cell r="I169">
            <v>8982578</v>
          </cell>
          <cell r="J169">
            <v>8937605</v>
          </cell>
          <cell r="K169">
            <v>8892815</v>
          </cell>
          <cell r="L169">
            <v>8850975</v>
          </cell>
          <cell r="M169">
            <v>8812705</v>
          </cell>
          <cell r="N169">
            <v>8776940</v>
          </cell>
          <cell r="O169">
            <v>8742764</v>
          </cell>
          <cell r="P169">
            <v>8708685</v>
          </cell>
          <cell r="Q169">
            <v>8673604</v>
          </cell>
          <cell r="R169">
            <v>8637314</v>
          </cell>
          <cell r="S169">
            <v>8600158</v>
          </cell>
          <cell r="T169">
            <v>8562219</v>
          </cell>
          <cell r="U169">
            <v>8523710</v>
          </cell>
          <cell r="V169">
            <v>8484772</v>
          </cell>
          <cell r="W169" t="str">
            <v>SRB</v>
          </cell>
          <cell r="X169"/>
          <cell r="Y169"/>
          <cell r="Z169"/>
          <cell r="AA169"/>
          <cell r="AB169"/>
          <cell r="AC169"/>
          <cell r="AD169"/>
        </row>
        <row r="170">
          <cell r="A170" t="str">
            <v>Seychelles</v>
          </cell>
          <cell r="B170" t="str">
            <v>SYC</v>
          </cell>
          <cell r="C170" t="str">
            <v>SEY</v>
          </cell>
          <cell r="D170" t="str">
            <v>AFRlow</v>
          </cell>
          <cell r="E170">
            <v>0</v>
          </cell>
          <cell r="F170">
            <v>13</v>
          </cell>
          <cell r="G170">
            <v>93081</v>
          </cell>
          <cell r="H170">
            <v>93810</v>
          </cell>
          <cell r="I170">
            <v>94524</v>
          </cell>
          <cell r="J170">
            <v>95215</v>
          </cell>
          <cell r="K170">
            <v>95868</v>
          </cell>
          <cell r="L170">
            <v>96471</v>
          </cell>
          <cell r="M170">
            <v>97026</v>
          </cell>
          <cell r="N170">
            <v>97539</v>
          </cell>
          <cell r="O170">
            <v>98013</v>
          </cell>
          <cell r="P170">
            <v>98447</v>
          </cell>
          <cell r="Q170">
            <v>98843</v>
          </cell>
          <cell r="R170">
            <v>99202</v>
          </cell>
          <cell r="S170">
            <v>99526</v>
          </cell>
          <cell r="T170">
            <v>99817</v>
          </cell>
          <cell r="U170">
            <v>100076</v>
          </cell>
          <cell r="V170">
            <v>100307</v>
          </cell>
          <cell r="W170" t="str">
            <v>SYC</v>
          </cell>
          <cell r="X170"/>
          <cell r="Y170"/>
          <cell r="Z170"/>
          <cell r="AA170"/>
          <cell r="AB170"/>
          <cell r="AC170"/>
          <cell r="AD170"/>
        </row>
        <row r="171">
          <cell r="A171" t="str">
            <v>Sierra Leone</v>
          </cell>
          <cell r="B171" t="str">
            <v>SLE</v>
          </cell>
          <cell r="C171" t="str">
            <v>SIL</v>
          </cell>
          <cell r="D171" t="str">
            <v>AFRlow</v>
          </cell>
          <cell r="E171" t="str">
            <v>Leone</v>
          </cell>
          <cell r="F171">
            <v>4524</v>
          </cell>
          <cell r="G171">
            <v>5775902</v>
          </cell>
          <cell r="H171">
            <v>5908908</v>
          </cell>
          <cell r="I171">
            <v>6043157</v>
          </cell>
          <cell r="J171">
            <v>6178859</v>
          </cell>
          <cell r="K171">
            <v>6315627</v>
          </cell>
          <cell r="L171">
            <v>6453184</v>
          </cell>
          <cell r="M171">
            <v>6592102</v>
          </cell>
          <cell r="N171">
            <v>6732899</v>
          </cell>
          <cell r="O171">
            <v>6875056</v>
          </cell>
          <cell r="P171">
            <v>7017749</v>
          </cell>
          <cell r="Q171">
            <v>7160373</v>
          </cell>
          <cell r="R171">
            <v>7302795</v>
          </cell>
          <cell r="S171">
            <v>7445223</v>
          </cell>
          <cell r="T171">
            <v>7587787</v>
          </cell>
          <cell r="U171">
            <v>7730725</v>
          </cell>
          <cell r="V171">
            <v>7874195</v>
          </cell>
          <cell r="W171" t="str">
            <v>SLE</v>
          </cell>
          <cell r="X171"/>
          <cell r="Y171"/>
          <cell r="Z171"/>
          <cell r="AA171"/>
          <cell r="AB171"/>
          <cell r="AC171"/>
          <cell r="AD171"/>
        </row>
        <row r="172">
          <cell r="A172" t="str">
            <v>Singapore</v>
          </cell>
          <cell r="B172" t="str">
            <v>SGP</v>
          </cell>
          <cell r="C172" t="str">
            <v>SIN</v>
          </cell>
          <cell r="D172" t="str">
            <v>EME</v>
          </cell>
          <cell r="E172">
            <v>0</v>
          </cell>
          <cell r="F172">
            <v>1</v>
          </cell>
          <cell r="G172">
            <v>5078961</v>
          </cell>
          <cell r="H172">
            <v>5190666</v>
          </cell>
          <cell r="I172">
            <v>5299524</v>
          </cell>
          <cell r="J172">
            <v>5405009</v>
          </cell>
          <cell r="K172">
            <v>5506586</v>
          </cell>
          <cell r="L172">
            <v>5603740</v>
          </cell>
          <cell r="M172">
            <v>5696506</v>
          </cell>
          <cell r="N172">
            <v>5784538</v>
          </cell>
          <cell r="O172">
            <v>5866547</v>
          </cell>
          <cell r="P172">
            <v>5940925</v>
          </cell>
          <cell r="Q172">
            <v>6006710</v>
          </cell>
          <cell r="R172">
            <v>6063251</v>
          </cell>
          <cell r="S172">
            <v>6111355</v>
          </cell>
          <cell r="T172">
            <v>6153344</v>
          </cell>
          <cell r="U172">
            <v>6192455</v>
          </cell>
          <cell r="V172">
            <v>6231082</v>
          </cell>
          <cell r="W172" t="str">
            <v>SGP</v>
          </cell>
          <cell r="X172"/>
          <cell r="Y172"/>
          <cell r="Z172"/>
          <cell r="AA172"/>
          <cell r="AB172"/>
          <cell r="AC172"/>
          <cell r="AD172"/>
        </row>
        <row r="173">
          <cell r="A173" t="str">
            <v>Sint Maarten (Dutch part)</v>
          </cell>
          <cell r="B173" t="str">
            <v>SXM</v>
          </cell>
          <cell r="C173" t="str">
            <v xml:space="preserve"> </v>
          </cell>
          <cell r="E173" t="str">
            <v xml:space="preserve"> </v>
          </cell>
          <cell r="F173">
            <v>0</v>
          </cell>
          <cell r="G173">
            <v>33125</v>
          </cell>
          <cell r="H173">
            <v>33979</v>
          </cell>
          <cell r="I173">
            <v>35134</v>
          </cell>
          <cell r="J173">
            <v>36442</v>
          </cell>
          <cell r="K173">
            <v>37696</v>
          </cell>
          <cell r="L173">
            <v>38745</v>
          </cell>
          <cell r="M173">
            <v>39538</v>
          </cell>
          <cell r="N173">
            <v>40117</v>
          </cell>
          <cell r="O173">
            <v>40551</v>
          </cell>
          <cell r="P173">
            <v>40940</v>
          </cell>
          <cell r="Q173">
            <v>41367</v>
          </cell>
          <cell r="R173">
            <v>41842</v>
          </cell>
          <cell r="S173">
            <v>42338</v>
          </cell>
          <cell r="T173">
            <v>42846</v>
          </cell>
          <cell r="U173">
            <v>43348</v>
          </cell>
          <cell r="V173">
            <v>43829</v>
          </cell>
          <cell r="W173" t="str">
            <v>SXM</v>
          </cell>
          <cell r="X173"/>
          <cell r="Y173"/>
          <cell r="Z173"/>
          <cell r="AA173"/>
          <cell r="AB173"/>
          <cell r="AC173"/>
          <cell r="AD173"/>
        </row>
        <row r="174">
          <cell r="A174" t="str">
            <v>Slovakia</v>
          </cell>
          <cell r="B174" t="str">
            <v>SVK</v>
          </cell>
          <cell r="C174" t="str">
            <v>SVK</v>
          </cell>
          <cell r="D174" t="str">
            <v>CEUR</v>
          </cell>
          <cell r="E174">
            <v>0</v>
          </cell>
          <cell r="F174">
            <v>0</v>
          </cell>
          <cell r="G174">
            <v>5406896</v>
          </cell>
          <cell r="H174">
            <v>5411377</v>
          </cell>
          <cell r="I174">
            <v>5415496</v>
          </cell>
          <cell r="J174">
            <v>5419288</v>
          </cell>
          <cell r="K174">
            <v>5422861</v>
          </cell>
          <cell r="L174">
            <v>5426258</v>
          </cell>
          <cell r="M174">
            <v>5429418</v>
          </cell>
          <cell r="N174">
            <v>5432157</v>
          </cell>
          <cell r="O174">
            <v>5434237</v>
          </cell>
          <cell r="P174">
            <v>5435363</v>
          </cell>
          <cell r="Q174">
            <v>5435297</v>
          </cell>
          <cell r="R174">
            <v>5433929</v>
          </cell>
          <cell r="S174">
            <v>5431211</v>
          </cell>
          <cell r="T174">
            <v>5427044</v>
          </cell>
          <cell r="U174">
            <v>5421343</v>
          </cell>
          <cell r="V174">
            <v>5414043</v>
          </cell>
          <cell r="W174" t="str">
            <v>SVK</v>
          </cell>
          <cell r="X174"/>
          <cell r="Y174"/>
          <cell r="Z174"/>
          <cell r="AA174"/>
          <cell r="AB174"/>
          <cell r="AC174"/>
          <cell r="AD174"/>
        </row>
        <row r="175">
          <cell r="A175" t="str">
            <v>Slovenia</v>
          </cell>
          <cell r="B175" t="str">
            <v>SVN</v>
          </cell>
          <cell r="C175" t="str">
            <v>SVN</v>
          </cell>
          <cell r="D175" t="str">
            <v>CEUR</v>
          </cell>
          <cell r="E175">
            <v>0</v>
          </cell>
          <cell r="F175">
            <v>0</v>
          </cell>
          <cell r="G175">
            <v>2052480</v>
          </cell>
          <cell r="H175">
            <v>2059023</v>
          </cell>
          <cell r="I175">
            <v>2062881</v>
          </cell>
          <cell r="J175">
            <v>2064819</v>
          </cell>
          <cell r="K175">
            <v>2066068</v>
          </cell>
          <cell r="L175">
            <v>2067526</v>
          </cell>
          <cell r="M175">
            <v>2069362</v>
          </cell>
          <cell r="N175">
            <v>2071252</v>
          </cell>
          <cell r="O175">
            <v>2073018</v>
          </cell>
          <cell r="P175">
            <v>2074347</v>
          </cell>
          <cell r="Q175">
            <v>2075011</v>
          </cell>
          <cell r="R175">
            <v>2075005</v>
          </cell>
          <cell r="S175">
            <v>2074441</v>
          </cell>
          <cell r="T175">
            <v>2073346</v>
          </cell>
          <cell r="U175">
            <v>2071766</v>
          </cell>
          <cell r="V175">
            <v>2069744</v>
          </cell>
          <cell r="W175" t="str">
            <v>SVN</v>
          </cell>
          <cell r="X175"/>
          <cell r="Y175"/>
          <cell r="Z175"/>
          <cell r="AA175"/>
          <cell r="AB175"/>
          <cell r="AC175"/>
          <cell r="AD175"/>
        </row>
        <row r="176">
          <cell r="A176" t="str">
            <v>Solomon Islands</v>
          </cell>
          <cell r="B176" t="str">
            <v>SLB</v>
          </cell>
          <cell r="C176" t="str">
            <v>SOL</v>
          </cell>
          <cell r="D176" t="str">
            <v>WPR</v>
          </cell>
          <cell r="E176" t="str">
            <v>Solomon Island Dollar</v>
          </cell>
          <cell r="F176">
            <v>7</v>
          </cell>
          <cell r="G176">
            <v>526177</v>
          </cell>
          <cell r="H176">
            <v>537648</v>
          </cell>
          <cell r="I176">
            <v>549162</v>
          </cell>
          <cell r="J176">
            <v>560685</v>
          </cell>
          <cell r="K176">
            <v>572171</v>
          </cell>
          <cell r="L176">
            <v>583591</v>
          </cell>
          <cell r="M176">
            <v>594934</v>
          </cell>
          <cell r="N176">
            <v>606215</v>
          </cell>
          <cell r="O176">
            <v>617467</v>
          </cell>
          <cell r="P176">
            <v>628733</v>
          </cell>
          <cell r="Q176">
            <v>640045</v>
          </cell>
          <cell r="R176">
            <v>651414</v>
          </cell>
          <cell r="S176">
            <v>662836</v>
          </cell>
          <cell r="T176">
            <v>674321</v>
          </cell>
          <cell r="U176">
            <v>685878</v>
          </cell>
          <cell r="V176">
            <v>697512</v>
          </cell>
          <cell r="W176" t="str">
            <v>SLB</v>
          </cell>
          <cell r="X176"/>
          <cell r="Y176"/>
          <cell r="Z176"/>
          <cell r="AA176"/>
          <cell r="AB176"/>
          <cell r="AC176"/>
          <cell r="AD176"/>
        </row>
        <row r="177">
          <cell r="A177" t="str">
            <v>Somalia</v>
          </cell>
          <cell r="B177" t="str">
            <v>SOM</v>
          </cell>
          <cell r="C177" t="str">
            <v>SOM</v>
          </cell>
          <cell r="D177" t="str">
            <v>EMR</v>
          </cell>
          <cell r="E177" t="str">
            <v>Shilling</v>
          </cell>
          <cell r="F177">
            <v>0</v>
          </cell>
          <cell r="G177">
            <v>9581714</v>
          </cell>
          <cell r="H177">
            <v>9806670</v>
          </cell>
          <cell r="I177">
            <v>10033630</v>
          </cell>
          <cell r="J177">
            <v>10268157</v>
          </cell>
          <cell r="K177">
            <v>10517569</v>
          </cell>
          <cell r="L177">
            <v>10787104</v>
          </cell>
          <cell r="M177">
            <v>11079013</v>
          </cell>
          <cell r="N177">
            <v>11391962</v>
          </cell>
          <cell r="O177">
            <v>11723108</v>
          </cell>
          <cell r="P177">
            <v>12067860</v>
          </cell>
          <cell r="Q177">
            <v>12422741</v>
          </cell>
          <cell r="R177">
            <v>12787062</v>
          </cell>
          <cell r="S177">
            <v>13161594</v>
          </cell>
          <cell r="T177">
            <v>13545985</v>
          </cell>
          <cell r="U177">
            <v>13940118</v>
          </cell>
          <cell r="V177">
            <v>14343830</v>
          </cell>
          <cell r="W177" t="str">
            <v>SOM</v>
          </cell>
          <cell r="X177"/>
          <cell r="Y177"/>
          <cell r="Z177"/>
          <cell r="AA177"/>
          <cell r="AB177"/>
          <cell r="AC177"/>
          <cell r="AD177"/>
        </row>
        <row r="178">
          <cell r="A178" t="str">
            <v>South Africa</v>
          </cell>
          <cell r="B178" t="str">
            <v>ZAF</v>
          </cell>
          <cell r="C178" t="str">
            <v>SOA</v>
          </cell>
          <cell r="D178" t="str">
            <v>AFRhigh</v>
          </cell>
          <cell r="E178" t="str">
            <v>Rand</v>
          </cell>
          <cell r="F178">
            <v>11</v>
          </cell>
          <cell r="G178">
            <v>51621594</v>
          </cell>
          <cell r="H178">
            <v>52237272</v>
          </cell>
          <cell r="I178">
            <v>52837274</v>
          </cell>
          <cell r="J178">
            <v>53416609</v>
          </cell>
          <cell r="K178">
            <v>53969054</v>
          </cell>
          <cell r="L178">
            <v>54490406</v>
          </cell>
          <cell r="M178">
            <v>54978907</v>
          </cell>
          <cell r="N178">
            <v>55436360</v>
          </cell>
          <cell r="O178">
            <v>55866711</v>
          </cell>
          <cell r="P178">
            <v>56275858</v>
          </cell>
          <cell r="Q178">
            <v>56668602</v>
          </cell>
          <cell r="R178">
            <v>57046384</v>
          </cell>
          <cell r="S178">
            <v>57409542</v>
          </cell>
          <cell r="T178">
            <v>57760562</v>
          </cell>
          <cell r="U178">
            <v>58102054</v>
          </cell>
          <cell r="V178">
            <v>58436197</v>
          </cell>
          <cell r="W178" t="str">
            <v>ZAF</v>
          </cell>
          <cell r="X178"/>
          <cell r="Y178"/>
          <cell r="Z178"/>
          <cell r="AA178"/>
          <cell r="AB178"/>
          <cell r="AC178"/>
          <cell r="AD178"/>
        </row>
        <row r="179">
          <cell r="A179" t="str">
            <v>South Sudan</v>
          </cell>
          <cell r="B179" t="str">
            <v>SSD</v>
          </cell>
          <cell r="C179" t="str">
            <v>SSD</v>
          </cell>
          <cell r="D179" t="str">
            <v>AFRlow</v>
          </cell>
          <cell r="E179" t="str">
            <v>South Sudanese Pounds</v>
          </cell>
          <cell r="F179">
            <v>0</v>
          </cell>
          <cell r="G179"/>
          <cell r="H179">
            <v>10510122</v>
          </cell>
          <cell r="I179">
            <v>10980623</v>
          </cell>
          <cell r="J179">
            <v>11453810</v>
          </cell>
          <cell r="K179">
            <v>11911184</v>
          </cell>
          <cell r="L179">
            <v>12339812</v>
          </cell>
          <cell r="M179">
            <v>12733427</v>
          </cell>
          <cell r="N179">
            <v>13096190</v>
          </cell>
          <cell r="O179">
            <v>13438609</v>
          </cell>
          <cell r="P179">
            <v>13776683</v>
          </cell>
          <cell r="Q179">
            <v>14122222</v>
          </cell>
          <cell r="R179">
            <v>14478328</v>
          </cell>
          <cell r="S179">
            <v>14841821</v>
          </cell>
          <cell r="T179">
            <v>15210786</v>
          </cell>
          <cell r="U179">
            <v>15581340</v>
          </cell>
          <cell r="V179">
            <v>15950768</v>
          </cell>
          <cell r="W179"/>
          <cell r="X179"/>
          <cell r="Y179"/>
          <cell r="Z179"/>
          <cell r="AA179"/>
          <cell r="AB179"/>
          <cell r="AC179"/>
          <cell r="AD179"/>
        </row>
        <row r="180">
          <cell r="A180" t="str">
            <v>Spain</v>
          </cell>
          <cell r="B180" t="str">
            <v>ESP</v>
          </cell>
          <cell r="C180" t="str">
            <v>SPA</v>
          </cell>
          <cell r="D180" t="str">
            <v>EME</v>
          </cell>
          <cell r="E180">
            <v>0</v>
          </cell>
          <cell r="F180">
            <v>0</v>
          </cell>
          <cell r="G180">
            <v>46601492</v>
          </cell>
          <cell r="H180">
            <v>46708366</v>
          </cell>
          <cell r="I180">
            <v>46637082</v>
          </cell>
          <cell r="J180">
            <v>46455163</v>
          </cell>
          <cell r="K180">
            <v>46259716</v>
          </cell>
          <cell r="L180">
            <v>46121699</v>
          </cell>
          <cell r="M180">
            <v>46064604</v>
          </cell>
          <cell r="N180">
            <v>46070146</v>
          </cell>
          <cell r="O180">
            <v>46116884</v>
          </cell>
          <cell r="P180">
            <v>46167128</v>
          </cell>
          <cell r="Q180">
            <v>46193543</v>
          </cell>
          <cell r="R180">
            <v>46194096</v>
          </cell>
          <cell r="S180">
            <v>46180832</v>
          </cell>
          <cell r="T180">
            <v>46156478</v>
          </cell>
          <cell r="U180">
            <v>46126363</v>
          </cell>
          <cell r="V180">
            <v>46094613</v>
          </cell>
          <cell r="W180" t="str">
            <v>ESP</v>
          </cell>
          <cell r="X180"/>
          <cell r="Y180"/>
          <cell r="Z180"/>
          <cell r="AA180"/>
          <cell r="AB180"/>
          <cell r="AC180"/>
          <cell r="AD180"/>
        </row>
        <row r="181">
          <cell r="A181" t="str">
            <v>Sri Lanka</v>
          </cell>
          <cell r="B181" t="str">
            <v>LKA</v>
          </cell>
          <cell r="C181" t="str">
            <v>SRL</v>
          </cell>
          <cell r="D181" t="str">
            <v>SEAR</v>
          </cell>
          <cell r="E181" t="str">
            <v>Rupee</v>
          </cell>
          <cell r="F181">
            <v>131</v>
          </cell>
          <cell r="G181">
            <v>20201312</v>
          </cell>
          <cell r="H181">
            <v>20315673</v>
          </cell>
          <cell r="I181">
            <v>20421862</v>
          </cell>
          <cell r="J181">
            <v>20521959</v>
          </cell>
          <cell r="K181">
            <v>20618991</v>
          </cell>
          <cell r="L181">
            <v>20715010</v>
          </cell>
          <cell r="M181">
            <v>20810816</v>
          </cell>
          <cell r="N181">
            <v>20905335</v>
          </cell>
          <cell r="O181">
            <v>20996478</v>
          </cell>
          <cell r="P181">
            <v>21081229</v>
          </cell>
          <cell r="Q181">
            <v>21157419</v>
          </cell>
          <cell r="R181">
            <v>21224424</v>
          </cell>
          <cell r="S181">
            <v>21282945</v>
          </cell>
          <cell r="T181">
            <v>21333760</v>
          </cell>
          <cell r="U181">
            <v>21378168</v>
          </cell>
          <cell r="V181">
            <v>21417175</v>
          </cell>
          <cell r="W181" t="str">
            <v>LKA</v>
          </cell>
          <cell r="X181"/>
          <cell r="Y181"/>
          <cell r="Z181"/>
          <cell r="AA181"/>
          <cell r="AB181"/>
          <cell r="AC181"/>
          <cell r="AD181"/>
        </row>
        <row r="182">
          <cell r="A182" t="str">
            <v>Sudan</v>
          </cell>
          <cell r="B182" t="str">
            <v>SDN</v>
          </cell>
          <cell r="C182" t="str">
            <v>SUD</v>
          </cell>
          <cell r="D182" t="str">
            <v>EMR</v>
          </cell>
          <cell r="E182" t="str">
            <v>Dinar</v>
          </cell>
          <cell r="F182">
            <v>6</v>
          </cell>
          <cell r="G182">
            <v>46171360</v>
          </cell>
          <cell r="H182">
            <v>36918193</v>
          </cell>
          <cell r="I182">
            <v>37712420</v>
          </cell>
          <cell r="J182">
            <v>38515095</v>
          </cell>
          <cell r="K182">
            <v>39350274</v>
          </cell>
          <cell r="L182">
            <v>40234882</v>
          </cell>
          <cell r="M182">
            <v>41175541</v>
          </cell>
          <cell r="N182">
            <v>42166323</v>
          </cell>
          <cell r="O182">
            <v>43196092</v>
          </cell>
          <cell r="P182">
            <v>44247721</v>
          </cell>
          <cell r="Q182">
            <v>45308399</v>
          </cell>
          <cell r="R182">
            <v>46374862</v>
          </cell>
          <cell r="S182">
            <v>47450046</v>
          </cell>
          <cell r="T182">
            <v>48534609</v>
          </cell>
          <cell r="U182">
            <v>49630882</v>
          </cell>
          <cell r="V182">
            <v>50740339</v>
          </cell>
          <cell r="W182" t="str">
            <v>SDN</v>
          </cell>
          <cell r="X182"/>
          <cell r="Y182"/>
          <cell r="Z182"/>
          <cell r="AA182"/>
          <cell r="AB182"/>
          <cell r="AC182"/>
          <cell r="AD182"/>
        </row>
        <row r="183">
          <cell r="A183" t="str">
            <v>Suriname</v>
          </cell>
          <cell r="B183" t="str">
            <v>SUR</v>
          </cell>
          <cell r="C183" t="str">
            <v>SUR</v>
          </cell>
          <cell r="D183" t="str">
            <v>LAC</v>
          </cell>
          <cell r="E183" t="str">
            <v>Guilder</v>
          </cell>
          <cell r="F183">
            <v>3</v>
          </cell>
          <cell r="G183">
            <v>518141</v>
          </cell>
          <cell r="H183">
            <v>523439</v>
          </cell>
          <cell r="I183">
            <v>528535</v>
          </cell>
          <cell r="J183">
            <v>533450</v>
          </cell>
          <cell r="K183">
            <v>538248</v>
          </cell>
          <cell r="L183">
            <v>542975</v>
          </cell>
          <cell r="M183">
            <v>547610</v>
          </cell>
          <cell r="N183">
            <v>552112</v>
          </cell>
          <cell r="O183">
            <v>556485</v>
          </cell>
          <cell r="P183">
            <v>560741</v>
          </cell>
          <cell r="Q183">
            <v>564888</v>
          </cell>
          <cell r="R183">
            <v>568924</v>
          </cell>
          <cell r="S183">
            <v>572840</v>
          </cell>
          <cell r="T183">
            <v>576634</v>
          </cell>
          <cell r="U183">
            <v>580295</v>
          </cell>
          <cell r="V183">
            <v>583819</v>
          </cell>
          <cell r="W183" t="str">
            <v>SUR</v>
          </cell>
          <cell r="X183"/>
          <cell r="Y183"/>
          <cell r="Z183"/>
          <cell r="AA183"/>
          <cell r="AB183"/>
          <cell r="AC183"/>
          <cell r="AD183"/>
        </row>
        <row r="184">
          <cell r="A184" t="str">
            <v>Swaziland</v>
          </cell>
          <cell r="B184" t="str">
            <v>SWZ</v>
          </cell>
          <cell r="C184" t="str">
            <v>SWZ</v>
          </cell>
          <cell r="D184" t="str">
            <v>AFRhigh</v>
          </cell>
          <cell r="E184" t="str">
            <v>Lilangeni</v>
          </cell>
          <cell r="F184">
            <v>11</v>
          </cell>
          <cell r="G184">
            <v>1193148</v>
          </cell>
          <cell r="H184">
            <v>1212458</v>
          </cell>
          <cell r="I184">
            <v>1231694</v>
          </cell>
          <cell r="J184">
            <v>1250641</v>
          </cell>
          <cell r="K184">
            <v>1269112</v>
          </cell>
          <cell r="L184">
            <v>1286970</v>
          </cell>
          <cell r="M184">
            <v>1304063</v>
          </cell>
          <cell r="N184">
            <v>1320356</v>
          </cell>
          <cell r="O184">
            <v>1335999</v>
          </cell>
          <cell r="P184">
            <v>1351240</v>
          </cell>
          <cell r="Q184">
            <v>1366266</v>
          </cell>
          <cell r="R184">
            <v>1381119</v>
          </cell>
          <cell r="S184">
            <v>1395759</v>
          </cell>
          <cell r="T184">
            <v>1410191</v>
          </cell>
          <cell r="U184">
            <v>1424408</v>
          </cell>
          <cell r="V184">
            <v>1438414</v>
          </cell>
          <cell r="W184" t="str">
            <v>SWZ</v>
          </cell>
          <cell r="X184"/>
          <cell r="Y184"/>
          <cell r="Z184"/>
          <cell r="AA184"/>
          <cell r="AB184"/>
          <cell r="AC184"/>
          <cell r="AD184"/>
        </row>
        <row r="185">
          <cell r="A185" t="str">
            <v>Sweden</v>
          </cell>
          <cell r="B185" t="str">
            <v>SWE</v>
          </cell>
          <cell r="C185" t="str">
            <v>SWE</v>
          </cell>
          <cell r="D185" t="str">
            <v>EME</v>
          </cell>
          <cell r="E185">
            <v>0</v>
          </cell>
          <cell r="F185">
            <v>7</v>
          </cell>
          <cell r="G185">
            <v>9382297</v>
          </cell>
          <cell r="H185">
            <v>9462352</v>
          </cell>
          <cell r="I185">
            <v>9543457</v>
          </cell>
          <cell r="J185">
            <v>9624247</v>
          </cell>
          <cell r="K185">
            <v>9703247</v>
          </cell>
          <cell r="L185">
            <v>9779426</v>
          </cell>
          <cell r="M185">
            <v>9851852</v>
          </cell>
          <cell r="N185">
            <v>9920624</v>
          </cell>
          <cell r="O185">
            <v>9987062</v>
          </cell>
          <cell r="P185">
            <v>10053181</v>
          </cell>
          <cell r="Q185">
            <v>10120396</v>
          </cell>
          <cell r="R185">
            <v>10189077</v>
          </cell>
          <cell r="S185">
            <v>10258600</v>
          </cell>
          <cell r="T185">
            <v>10328186</v>
          </cell>
          <cell r="U185">
            <v>10396662</v>
          </cell>
          <cell r="V185">
            <v>10463158</v>
          </cell>
          <cell r="W185" t="str">
            <v>SWE</v>
          </cell>
          <cell r="X185"/>
          <cell r="Y185"/>
          <cell r="Z185"/>
          <cell r="AA185"/>
          <cell r="AB185"/>
          <cell r="AC185"/>
          <cell r="AD185"/>
        </row>
        <row r="186">
          <cell r="A186" t="str">
            <v>Switzerland</v>
          </cell>
          <cell r="B186" t="str">
            <v>CHE</v>
          </cell>
          <cell r="C186" t="str">
            <v>SWI</v>
          </cell>
          <cell r="D186" t="str">
            <v>EME</v>
          </cell>
          <cell r="E186">
            <v>0</v>
          </cell>
          <cell r="F186">
            <v>1</v>
          </cell>
          <cell r="G186">
            <v>7830534</v>
          </cell>
          <cell r="H186">
            <v>7925813</v>
          </cell>
          <cell r="I186">
            <v>8022628</v>
          </cell>
          <cell r="J186">
            <v>8118719</v>
          </cell>
          <cell r="K186">
            <v>8211383</v>
          </cell>
          <cell r="L186">
            <v>8298663</v>
          </cell>
          <cell r="M186">
            <v>8379477</v>
          </cell>
          <cell r="N186">
            <v>8454083</v>
          </cell>
          <cell r="O186">
            <v>8523590</v>
          </cell>
          <cell r="P186">
            <v>8589848</v>
          </cell>
          <cell r="Q186">
            <v>8654271</v>
          </cell>
          <cell r="R186">
            <v>8717026</v>
          </cell>
          <cell r="S186">
            <v>8777792</v>
          </cell>
          <cell r="T186">
            <v>8836943</v>
          </cell>
          <cell r="U186">
            <v>8894852</v>
          </cell>
          <cell r="V186">
            <v>8951789</v>
          </cell>
          <cell r="W186" t="str">
            <v>CHE</v>
          </cell>
          <cell r="X186"/>
          <cell r="Y186"/>
          <cell r="Z186"/>
          <cell r="AA186"/>
          <cell r="AB186"/>
          <cell r="AC186"/>
          <cell r="AD186"/>
        </row>
        <row r="187">
          <cell r="A187" t="str">
            <v>Syrian Arab Republic</v>
          </cell>
          <cell r="B187" t="str">
            <v>SYR</v>
          </cell>
          <cell r="C187" t="str">
            <v>SYR</v>
          </cell>
          <cell r="D187" t="str">
            <v>EMR</v>
          </cell>
          <cell r="E187" t="str">
            <v>Pound</v>
          </cell>
          <cell r="F187">
            <v>11</v>
          </cell>
          <cell r="G187">
            <v>20720602</v>
          </cell>
          <cell r="H187">
            <v>20501167</v>
          </cell>
          <cell r="I187">
            <v>19978756</v>
          </cell>
          <cell r="J187">
            <v>19322593</v>
          </cell>
          <cell r="K187">
            <v>18772481</v>
          </cell>
          <cell r="L187">
            <v>18502413</v>
          </cell>
          <cell r="M187">
            <v>18563595</v>
          </cell>
          <cell r="N187">
            <v>18906907</v>
          </cell>
          <cell r="O187">
            <v>19482401</v>
          </cell>
          <cell r="P187">
            <v>20201579</v>
          </cell>
          <cell r="Q187">
            <v>20993588</v>
          </cell>
          <cell r="R187">
            <v>21853658</v>
          </cell>
          <cell r="S187">
            <v>22789428</v>
          </cell>
          <cell r="T187">
            <v>23754043</v>
          </cell>
          <cell r="U187">
            <v>24691309</v>
          </cell>
          <cell r="V187">
            <v>25558851</v>
          </cell>
          <cell r="W187" t="str">
            <v>SYR</v>
          </cell>
          <cell r="X187"/>
          <cell r="Y187"/>
          <cell r="Z187"/>
          <cell r="AA187"/>
          <cell r="AB187"/>
          <cell r="AC187"/>
          <cell r="AD187"/>
        </row>
        <row r="188">
          <cell r="A188" t="str">
            <v>Tajikistan</v>
          </cell>
          <cell r="B188" t="str">
            <v>TJK</v>
          </cell>
          <cell r="C188" t="str">
            <v>TJK</v>
          </cell>
          <cell r="D188" t="str">
            <v>EEUR</v>
          </cell>
          <cell r="E188" t="str">
            <v>Somoni</v>
          </cell>
          <cell r="F188">
            <v>5</v>
          </cell>
          <cell r="G188">
            <v>7581696</v>
          </cell>
          <cell r="H188">
            <v>7753925</v>
          </cell>
          <cell r="I188">
            <v>7930929</v>
          </cell>
          <cell r="J188">
            <v>8111894</v>
          </cell>
          <cell r="K188">
            <v>8295840</v>
          </cell>
          <cell r="L188">
            <v>8481855</v>
          </cell>
          <cell r="M188">
            <v>8669464</v>
          </cell>
          <cell r="N188">
            <v>8858115</v>
          </cell>
          <cell r="O188">
            <v>9046723</v>
          </cell>
          <cell r="P188">
            <v>9234055</v>
          </cell>
          <cell r="Q188">
            <v>9419132</v>
          </cell>
          <cell r="R188">
            <v>9601483</v>
          </cell>
          <cell r="S188">
            <v>9780921</v>
          </cell>
          <cell r="T188">
            <v>9957165</v>
          </cell>
          <cell r="U188">
            <v>10130049</v>
          </cell>
          <cell r="V188">
            <v>10299524</v>
          </cell>
          <cell r="W188" t="str">
            <v>TJK</v>
          </cell>
          <cell r="X188"/>
          <cell r="Y188"/>
          <cell r="Z188"/>
          <cell r="AA188"/>
          <cell r="AB188"/>
          <cell r="AC188"/>
          <cell r="AD188"/>
        </row>
        <row r="189">
          <cell r="A189" t="str">
            <v>Thailand</v>
          </cell>
          <cell r="B189" t="str">
            <v>THA</v>
          </cell>
          <cell r="C189" t="str">
            <v>THA</v>
          </cell>
          <cell r="D189" t="str">
            <v>SEAR</v>
          </cell>
          <cell r="E189" t="str">
            <v>Baht</v>
          </cell>
          <cell r="F189">
            <v>32</v>
          </cell>
          <cell r="G189">
            <v>66692024</v>
          </cell>
          <cell r="H189">
            <v>66902958</v>
          </cell>
          <cell r="I189">
            <v>67164130</v>
          </cell>
          <cell r="J189">
            <v>67451422</v>
          </cell>
          <cell r="K189">
            <v>67725979</v>
          </cell>
          <cell r="L189">
            <v>67959359</v>
          </cell>
          <cell r="M189">
            <v>68146609</v>
          </cell>
          <cell r="N189">
            <v>68297547</v>
          </cell>
          <cell r="O189">
            <v>68415739</v>
          </cell>
          <cell r="P189">
            <v>68508515</v>
          </cell>
          <cell r="Q189">
            <v>68581377</v>
          </cell>
          <cell r="R189">
            <v>68634022</v>
          </cell>
          <cell r="S189">
            <v>68664196</v>
          </cell>
          <cell r="T189">
            <v>68673481</v>
          </cell>
          <cell r="U189">
            <v>68663792</v>
          </cell>
          <cell r="V189">
            <v>68636617</v>
          </cell>
          <cell r="W189" t="str">
            <v>THA</v>
          </cell>
          <cell r="X189"/>
          <cell r="Y189"/>
          <cell r="Z189"/>
          <cell r="AA189"/>
          <cell r="AB189"/>
          <cell r="AC189"/>
          <cell r="AD189"/>
        </row>
        <row r="190">
          <cell r="A190" t="str">
            <v>The Former Yugoslav Republic of Macedonia</v>
          </cell>
          <cell r="B190" t="str">
            <v>MKD</v>
          </cell>
          <cell r="C190" t="str">
            <v xml:space="preserve"> </v>
          </cell>
          <cell r="D190" t="str">
            <v>CEUR</v>
          </cell>
          <cell r="E190" t="str">
            <v xml:space="preserve"> </v>
          </cell>
          <cell r="F190">
            <v>46</v>
          </cell>
          <cell r="G190">
            <v>2062443</v>
          </cell>
          <cell r="H190">
            <v>2065888</v>
          </cell>
          <cell r="I190">
            <v>2069270</v>
          </cell>
          <cell r="J190">
            <v>2072543</v>
          </cell>
          <cell r="K190">
            <v>2075625</v>
          </cell>
          <cell r="L190">
            <v>2078453</v>
          </cell>
          <cell r="M190">
            <v>2081012</v>
          </cell>
          <cell r="N190">
            <v>2083308</v>
          </cell>
          <cell r="O190">
            <v>2085315</v>
          </cell>
          <cell r="P190">
            <v>2087012</v>
          </cell>
          <cell r="Q190">
            <v>2088374</v>
          </cell>
          <cell r="R190">
            <v>2089384</v>
          </cell>
          <cell r="S190">
            <v>2090022</v>
          </cell>
          <cell r="T190">
            <v>2090252</v>
          </cell>
          <cell r="U190">
            <v>2090036</v>
          </cell>
          <cell r="V190">
            <v>2089342</v>
          </cell>
          <cell r="W190" t="str">
            <v>MKD</v>
          </cell>
          <cell r="X190"/>
          <cell r="Y190"/>
          <cell r="Z190"/>
          <cell r="AA190"/>
          <cell r="AB190"/>
          <cell r="AC190"/>
          <cell r="AD190"/>
        </row>
        <row r="191">
          <cell r="A191" t="str">
            <v>Timor-Leste</v>
          </cell>
          <cell r="B191" t="str">
            <v>TLS</v>
          </cell>
          <cell r="C191" t="str">
            <v>TMP</v>
          </cell>
          <cell r="D191" t="str">
            <v>SEAR</v>
          </cell>
          <cell r="E191">
            <v>0</v>
          </cell>
          <cell r="F191">
            <v>1</v>
          </cell>
          <cell r="G191">
            <v>1057122</v>
          </cell>
          <cell r="H191">
            <v>1077602</v>
          </cell>
          <cell r="I191">
            <v>1102076</v>
          </cell>
          <cell r="J191">
            <v>1129315</v>
          </cell>
          <cell r="K191">
            <v>1157360</v>
          </cell>
          <cell r="L191">
            <v>1184765</v>
          </cell>
          <cell r="M191">
            <v>1211245</v>
          </cell>
          <cell r="N191">
            <v>1237251</v>
          </cell>
          <cell r="O191">
            <v>1262927</v>
          </cell>
          <cell r="P191">
            <v>1288608</v>
          </cell>
          <cell r="Q191">
            <v>1314533</v>
          </cell>
          <cell r="R191">
            <v>1340671</v>
          </cell>
          <cell r="S191">
            <v>1366864</v>
          </cell>
          <cell r="T191">
            <v>1393084</v>
          </cell>
          <cell r="U191">
            <v>1419296</v>
          </cell>
          <cell r="V191">
            <v>1445481</v>
          </cell>
          <cell r="W191" t="str">
            <v>TLS</v>
          </cell>
          <cell r="X191"/>
          <cell r="Y191"/>
          <cell r="Z191"/>
          <cell r="AA191"/>
          <cell r="AB191"/>
          <cell r="AC191"/>
          <cell r="AD191"/>
        </row>
        <row r="192">
          <cell r="A192" t="str">
            <v>Togo</v>
          </cell>
          <cell r="B192" t="str">
            <v>TGO</v>
          </cell>
          <cell r="C192" t="str">
            <v>TOG</v>
          </cell>
          <cell r="D192" t="str">
            <v>AFRlow</v>
          </cell>
          <cell r="E192" t="str">
            <v>Franc</v>
          </cell>
          <cell r="F192">
            <v>494</v>
          </cell>
          <cell r="G192">
            <v>6390851</v>
          </cell>
          <cell r="H192">
            <v>6566179</v>
          </cell>
          <cell r="I192">
            <v>6745581</v>
          </cell>
          <cell r="J192">
            <v>6928719</v>
          </cell>
          <cell r="K192">
            <v>7115163</v>
          </cell>
          <cell r="L192">
            <v>7304578</v>
          </cell>
          <cell r="M192">
            <v>7496833</v>
          </cell>
          <cell r="N192">
            <v>7691915</v>
          </cell>
          <cell r="O192">
            <v>7889759</v>
          </cell>
          <cell r="P192">
            <v>8090336</v>
          </cell>
          <cell r="Q192">
            <v>8293638</v>
          </cell>
          <cell r="R192">
            <v>8499596</v>
          </cell>
          <cell r="S192">
            <v>8708214</v>
          </cell>
          <cell r="T192">
            <v>8919657</v>
          </cell>
          <cell r="U192">
            <v>9134160</v>
          </cell>
          <cell r="V192">
            <v>9351898</v>
          </cell>
          <cell r="W192" t="str">
            <v>TGO</v>
          </cell>
          <cell r="X192"/>
          <cell r="Y192"/>
          <cell r="Z192"/>
          <cell r="AA192"/>
          <cell r="AB192"/>
          <cell r="AC192"/>
          <cell r="AD192"/>
        </row>
        <row r="193">
          <cell r="A193" t="str">
            <v>Tokelau</v>
          </cell>
          <cell r="B193" t="str">
            <v>TKL</v>
          </cell>
          <cell r="C193" t="str">
            <v>TOK</v>
          </cell>
          <cell r="D193" t="str">
            <v>WPR</v>
          </cell>
          <cell r="E193">
            <v>0</v>
          </cell>
          <cell r="F193" t="e">
            <v>#N/A</v>
          </cell>
          <cell r="G193">
            <v>1135</v>
          </cell>
          <cell r="H193">
            <v>1148</v>
          </cell>
          <cell r="I193">
            <v>1169</v>
          </cell>
          <cell r="J193">
            <v>1195</v>
          </cell>
          <cell r="K193">
            <v>1223</v>
          </cell>
          <cell r="L193">
            <v>1250</v>
          </cell>
          <cell r="M193">
            <v>1276</v>
          </cell>
          <cell r="N193">
            <v>1300</v>
          </cell>
          <cell r="O193">
            <v>1321</v>
          </cell>
          <cell r="P193">
            <v>1340</v>
          </cell>
          <cell r="Q193">
            <v>1357</v>
          </cell>
          <cell r="R193">
            <v>1370</v>
          </cell>
          <cell r="S193">
            <v>1381</v>
          </cell>
          <cell r="T193">
            <v>1388</v>
          </cell>
          <cell r="U193">
            <v>1397</v>
          </cell>
          <cell r="V193">
            <v>1404</v>
          </cell>
          <cell r="W193" t="str">
            <v>TKL</v>
          </cell>
          <cell r="X193"/>
          <cell r="Y193"/>
          <cell r="Z193"/>
          <cell r="AA193"/>
          <cell r="AB193"/>
          <cell r="AC193"/>
          <cell r="AD193"/>
        </row>
        <row r="194">
          <cell r="A194" t="str">
            <v>Tonga</v>
          </cell>
          <cell r="B194" t="str">
            <v>TON</v>
          </cell>
          <cell r="C194" t="str">
            <v>TON</v>
          </cell>
          <cell r="D194" t="str">
            <v>WPR</v>
          </cell>
          <cell r="E194">
            <v>0</v>
          </cell>
          <cell r="F194">
            <v>2</v>
          </cell>
          <cell r="G194">
            <v>103947</v>
          </cell>
          <cell r="H194">
            <v>104392</v>
          </cell>
          <cell r="I194">
            <v>104769</v>
          </cell>
          <cell r="J194">
            <v>105139</v>
          </cell>
          <cell r="K194">
            <v>105586</v>
          </cell>
          <cell r="L194">
            <v>106170</v>
          </cell>
          <cell r="M194">
            <v>106915</v>
          </cell>
          <cell r="N194">
            <v>107797</v>
          </cell>
          <cell r="O194">
            <v>108775</v>
          </cell>
          <cell r="P194">
            <v>109779</v>
          </cell>
          <cell r="Q194">
            <v>110761</v>
          </cell>
          <cell r="R194">
            <v>111708</v>
          </cell>
          <cell r="S194">
            <v>112634</v>
          </cell>
          <cell r="T194">
            <v>113553</v>
          </cell>
          <cell r="U194">
            <v>114488</v>
          </cell>
          <cell r="V194">
            <v>115458</v>
          </cell>
          <cell r="W194" t="str">
            <v>TON</v>
          </cell>
          <cell r="X194"/>
          <cell r="Y194"/>
          <cell r="Z194"/>
          <cell r="AA194"/>
          <cell r="AB194"/>
          <cell r="AC194"/>
          <cell r="AD194"/>
        </row>
        <row r="195">
          <cell r="A195" t="str">
            <v>Trinidad and Tobago</v>
          </cell>
          <cell r="B195" t="str">
            <v>TTO</v>
          </cell>
          <cell r="C195" t="str">
            <v xml:space="preserve"> </v>
          </cell>
          <cell r="D195" t="str">
            <v>LAC</v>
          </cell>
          <cell r="E195" t="str">
            <v xml:space="preserve"> </v>
          </cell>
          <cell r="F195">
            <v>6</v>
          </cell>
          <cell r="G195">
            <v>1328095</v>
          </cell>
          <cell r="H195">
            <v>1334790</v>
          </cell>
          <cell r="I195">
            <v>1341579</v>
          </cell>
          <cell r="J195">
            <v>1348240</v>
          </cell>
          <cell r="K195">
            <v>1354483</v>
          </cell>
          <cell r="L195">
            <v>1360088</v>
          </cell>
          <cell r="M195">
            <v>1364973</v>
          </cell>
          <cell r="N195">
            <v>1369157</v>
          </cell>
          <cell r="O195">
            <v>1372648</v>
          </cell>
          <cell r="P195">
            <v>1375498</v>
          </cell>
          <cell r="Q195">
            <v>1377747</v>
          </cell>
          <cell r="R195">
            <v>1379386</v>
          </cell>
          <cell r="S195">
            <v>1380409</v>
          </cell>
          <cell r="T195">
            <v>1380865</v>
          </cell>
          <cell r="U195">
            <v>1380825</v>
          </cell>
          <cell r="V195">
            <v>1380348</v>
          </cell>
          <cell r="W195" t="str">
            <v>TTO</v>
          </cell>
          <cell r="X195"/>
          <cell r="Y195"/>
          <cell r="Z195"/>
          <cell r="AA195"/>
          <cell r="AB195"/>
          <cell r="AC195"/>
          <cell r="AD195"/>
        </row>
        <row r="196">
          <cell r="A196" t="str">
            <v>Tunisia</v>
          </cell>
          <cell r="B196" t="str">
            <v>TUN</v>
          </cell>
          <cell r="C196" t="str">
            <v>TUN</v>
          </cell>
          <cell r="D196" t="str">
            <v>EMR</v>
          </cell>
          <cell r="E196">
            <v>0</v>
          </cell>
          <cell r="F196">
            <v>2</v>
          </cell>
          <cell r="G196">
            <v>10639194</v>
          </cell>
          <cell r="H196">
            <v>10758870</v>
          </cell>
          <cell r="I196">
            <v>10881450</v>
          </cell>
          <cell r="J196">
            <v>11005706</v>
          </cell>
          <cell r="K196">
            <v>11130154</v>
          </cell>
          <cell r="L196">
            <v>11253554</v>
          </cell>
          <cell r="M196">
            <v>11375220</v>
          </cell>
          <cell r="N196">
            <v>11494760</v>
          </cell>
          <cell r="O196">
            <v>11611602</v>
          </cell>
          <cell r="P196">
            <v>11725253</v>
          </cell>
          <cell r="Q196">
            <v>11835284</v>
          </cell>
          <cell r="R196">
            <v>11941316</v>
          </cell>
          <cell r="S196">
            <v>12043028</v>
          </cell>
          <cell r="T196">
            <v>12140173</v>
          </cell>
          <cell r="U196">
            <v>12232570</v>
          </cell>
          <cell r="V196">
            <v>12320107</v>
          </cell>
          <cell r="W196" t="str">
            <v>TUN</v>
          </cell>
          <cell r="X196"/>
          <cell r="Y196"/>
          <cell r="Z196"/>
          <cell r="AA196"/>
          <cell r="AB196"/>
          <cell r="AC196"/>
          <cell r="AD196"/>
        </row>
        <row r="197">
          <cell r="A197" t="str">
            <v>Turkey</v>
          </cell>
          <cell r="B197" t="str">
            <v>TUR</v>
          </cell>
          <cell r="C197" t="str">
            <v>TUR</v>
          </cell>
          <cell r="D197" t="str">
            <v>CEUR</v>
          </cell>
          <cell r="E197" t="str">
            <v>Lira</v>
          </cell>
          <cell r="F197">
            <v>2</v>
          </cell>
          <cell r="G197">
            <v>72310416</v>
          </cell>
          <cell r="H197">
            <v>73517002</v>
          </cell>
          <cell r="I197">
            <v>74849187</v>
          </cell>
          <cell r="J197">
            <v>76223639</v>
          </cell>
          <cell r="K197">
            <v>77523788</v>
          </cell>
          <cell r="L197">
            <v>78665830</v>
          </cell>
          <cell r="M197">
            <v>79622062</v>
          </cell>
          <cell r="N197">
            <v>80417526</v>
          </cell>
          <cell r="O197">
            <v>81086257</v>
          </cell>
          <cell r="P197">
            <v>81684515</v>
          </cell>
          <cell r="Q197">
            <v>82255782</v>
          </cell>
          <cell r="R197">
            <v>82805533</v>
          </cell>
          <cell r="S197">
            <v>83325857</v>
          </cell>
          <cell r="T197">
            <v>83831987</v>
          </cell>
          <cell r="U197">
            <v>84340049</v>
          </cell>
          <cell r="V197">
            <v>84861849</v>
          </cell>
          <cell r="W197" t="str">
            <v>TUR</v>
          </cell>
          <cell r="X197"/>
          <cell r="Y197"/>
          <cell r="Z197"/>
          <cell r="AA197"/>
          <cell r="AB197"/>
          <cell r="AC197"/>
          <cell r="AD197"/>
        </row>
        <row r="198">
          <cell r="A198" t="str">
            <v>Turkmenistan</v>
          </cell>
          <cell r="B198" t="str">
            <v>TKM</v>
          </cell>
          <cell r="C198" t="str">
            <v>TKM</v>
          </cell>
          <cell r="D198" t="str">
            <v>EEUR</v>
          </cell>
          <cell r="E198" t="str">
            <v>Manat</v>
          </cell>
          <cell r="F198">
            <v>0</v>
          </cell>
          <cell r="G198">
            <v>5041995</v>
          </cell>
          <cell r="H198">
            <v>5106672</v>
          </cell>
          <cell r="I198">
            <v>5172941</v>
          </cell>
          <cell r="J198">
            <v>5240088</v>
          </cell>
          <cell r="K198">
            <v>5307188</v>
          </cell>
          <cell r="L198">
            <v>5373502</v>
          </cell>
          <cell r="M198">
            <v>5438670</v>
          </cell>
          <cell r="N198">
            <v>5502586</v>
          </cell>
          <cell r="O198">
            <v>5565070</v>
          </cell>
          <cell r="P198">
            <v>5626024</v>
          </cell>
          <cell r="Q198">
            <v>5685337</v>
          </cell>
          <cell r="R198">
            <v>5742853</v>
          </cell>
          <cell r="S198">
            <v>5798383</v>
          </cell>
          <cell r="T198">
            <v>5851774</v>
          </cell>
          <cell r="U198">
            <v>5902888</v>
          </cell>
          <cell r="V198">
            <v>5951626</v>
          </cell>
          <cell r="W198" t="str">
            <v>TKM</v>
          </cell>
          <cell r="X198"/>
          <cell r="Y198"/>
          <cell r="Z198"/>
          <cell r="AA198"/>
          <cell r="AB198"/>
          <cell r="AC198"/>
          <cell r="AD198"/>
        </row>
        <row r="199">
          <cell r="A199" t="str">
            <v>Turks and Caicos Islands</v>
          </cell>
          <cell r="B199" t="str">
            <v>TCA</v>
          </cell>
          <cell r="C199" t="str">
            <v xml:space="preserve"> </v>
          </cell>
          <cell r="D199" t="str">
            <v>LAC</v>
          </cell>
          <cell r="E199" t="str">
            <v xml:space="preserve"> </v>
          </cell>
          <cell r="F199">
            <v>0</v>
          </cell>
          <cell r="G199">
            <v>30993</v>
          </cell>
          <cell r="H199">
            <v>31727</v>
          </cell>
          <cell r="I199">
            <v>32430</v>
          </cell>
          <cell r="J199">
            <v>33103</v>
          </cell>
          <cell r="K199">
            <v>33740</v>
          </cell>
          <cell r="L199">
            <v>34339</v>
          </cell>
          <cell r="M199">
            <v>34904</v>
          </cell>
          <cell r="N199">
            <v>35442</v>
          </cell>
          <cell r="O199">
            <v>35960</v>
          </cell>
          <cell r="P199">
            <v>36462</v>
          </cell>
          <cell r="Q199">
            <v>36955</v>
          </cell>
          <cell r="R199">
            <v>37441</v>
          </cell>
          <cell r="S199">
            <v>37922</v>
          </cell>
          <cell r="T199">
            <v>38398</v>
          </cell>
          <cell r="U199">
            <v>38866</v>
          </cell>
          <cell r="V199">
            <v>39329</v>
          </cell>
          <cell r="W199" t="str">
            <v>TCA</v>
          </cell>
          <cell r="X199"/>
          <cell r="Y199"/>
          <cell r="Z199"/>
          <cell r="AA199"/>
          <cell r="AB199"/>
          <cell r="AC199"/>
          <cell r="AD199"/>
        </row>
        <row r="200">
          <cell r="A200" t="str">
            <v>Tuvalu</v>
          </cell>
          <cell r="B200" t="str">
            <v>TUV</v>
          </cell>
          <cell r="C200" t="str">
            <v>TUV</v>
          </cell>
          <cell r="D200" t="str">
            <v>WPR</v>
          </cell>
          <cell r="E200">
            <v>0</v>
          </cell>
          <cell r="F200">
            <v>0</v>
          </cell>
          <cell r="G200">
            <v>9827</v>
          </cell>
          <cell r="H200">
            <v>9844</v>
          </cell>
          <cell r="I200">
            <v>9860</v>
          </cell>
          <cell r="J200">
            <v>9876</v>
          </cell>
          <cell r="K200">
            <v>9893</v>
          </cell>
          <cell r="L200">
            <v>9916</v>
          </cell>
          <cell r="M200">
            <v>9943</v>
          </cell>
          <cell r="N200">
            <v>9975</v>
          </cell>
          <cell r="O200">
            <v>10012</v>
          </cell>
          <cell r="P200">
            <v>10054</v>
          </cell>
          <cell r="Q200">
            <v>10101</v>
          </cell>
          <cell r="R200">
            <v>10152</v>
          </cell>
          <cell r="S200">
            <v>10210</v>
          </cell>
          <cell r="T200">
            <v>10270</v>
          </cell>
          <cell r="U200">
            <v>10334</v>
          </cell>
          <cell r="V200">
            <v>10399</v>
          </cell>
          <cell r="W200" t="str">
            <v>TUV</v>
          </cell>
          <cell r="X200"/>
          <cell r="Y200"/>
          <cell r="Z200"/>
          <cell r="AA200"/>
          <cell r="AB200"/>
          <cell r="AC200"/>
          <cell r="AD200"/>
        </row>
        <row r="201">
          <cell r="A201" t="str">
            <v>Uganda</v>
          </cell>
          <cell r="B201" t="str">
            <v>UGA</v>
          </cell>
          <cell r="C201" t="str">
            <v>UGA</v>
          </cell>
          <cell r="D201" t="str">
            <v>AFRhigh</v>
          </cell>
          <cell r="E201" t="str">
            <v>Shilling</v>
          </cell>
          <cell r="F201">
            <v>2600</v>
          </cell>
          <cell r="G201">
            <v>33149417</v>
          </cell>
          <cell r="H201">
            <v>34260342</v>
          </cell>
          <cell r="I201">
            <v>35400620</v>
          </cell>
          <cell r="J201">
            <v>36573387</v>
          </cell>
          <cell r="K201">
            <v>37782971</v>
          </cell>
          <cell r="L201">
            <v>39032383</v>
          </cell>
          <cell r="M201">
            <v>40322768</v>
          </cell>
          <cell r="N201">
            <v>41652938</v>
          </cell>
          <cell r="O201">
            <v>43020681</v>
          </cell>
          <cell r="P201">
            <v>44422662</v>
          </cell>
          <cell r="Q201">
            <v>45856367</v>
          </cell>
          <cell r="R201">
            <v>47321007</v>
          </cell>
          <cell r="S201">
            <v>48817045</v>
          </cell>
          <cell r="T201">
            <v>50344675</v>
          </cell>
          <cell r="U201">
            <v>51904468</v>
          </cell>
          <cell r="V201">
            <v>53496737</v>
          </cell>
          <cell r="W201" t="str">
            <v>UGA</v>
          </cell>
          <cell r="X201"/>
          <cell r="Y201"/>
          <cell r="Z201"/>
          <cell r="AA201"/>
          <cell r="AB201"/>
          <cell r="AC201"/>
          <cell r="AD201"/>
        </row>
        <row r="202">
          <cell r="A202" t="str">
            <v>Ukraine</v>
          </cell>
          <cell r="B202" t="str">
            <v>UKR</v>
          </cell>
          <cell r="C202" t="str">
            <v>UKR</v>
          </cell>
          <cell r="D202" t="str">
            <v>EEUR</v>
          </cell>
          <cell r="E202">
            <v>0</v>
          </cell>
          <cell r="F202">
            <v>12</v>
          </cell>
          <cell r="G202">
            <v>45647497</v>
          </cell>
          <cell r="H202">
            <v>45477690</v>
          </cell>
          <cell r="I202">
            <v>45319949</v>
          </cell>
          <cell r="J202">
            <v>45165211</v>
          </cell>
          <cell r="K202">
            <v>45002497</v>
          </cell>
          <cell r="L202">
            <v>44823765</v>
          </cell>
          <cell r="M202">
            <v>44624373</v>
          </cell>
          <cell r="N202">
            <v>44405055</v>
          </cell>
          <cell r="O202">
            <v>44170002</v>
          </cell>
          <cell r="P202">
            <v>43926350</v>
          </cell>
          <cell r="Q202">
            <v>43679300</v>
          </cell>
          <cell r="R202">
            <v>43429742</v>
          </cell>
          <cell r="S202">
            <v>43175649</v>
          </cell>
          <cell r="T202">
            <v>42915984</v>
          </cell>
          <cell r="U202">
            <v>42648959</v>
          </cell>
          <cell r="V202">
            <v>42373430</v>
          </cell>
          <cell r="W202" t="str">
            <v>UKR</v>
          </cell>
          <cell r="X202"/>
          <cell r="Y202"/>
          <cell r="Z202"/>
          <cell r="AA202"/>
          <cell r="AB202"/>
          <cell r="AC202"/>
          <cell r="AD202"/>
        </row>
        <row r="203">
          <cell r="A203" t="str">
            <v>United Arab Emirates</v>
          </cell>
          <cell r="B203" t="str">
            <v>ARE</v>
          </cell>
          <cell r="C203" t="str">
            <v>UAE</v>
          </cell>
          <cell r="D203" t="str">
            <v>EMR</v>
          </cell>
          <cell r="E203">
            <v>0</v>
          </cell>
          <cell r="F203">
            <v>4</v>
          </cell>
          <cell r="G203">
            <v>8329453</v>
          </cell>
          <cell r="H203">
            <v>8734722</v>
          </cell>
          <cell r="I203">
            <v>8952542</v>
          </cell>
          <cell r="J203">
            <v>9039978</v>
          </cell>
          <cell r="K203">
            <v>9086139</v>
          </cell>
          <cell r="L203">
            <v>9156963</v>
          </cell>
          <cell r="M203">
            <v>9266971</v>
          </cell>
          <cell r="N203">
            <v>9397599</v>
          </cell>
          <cell r="O203">
            <v>9542843</v>
          </cell>
          <cell r="P203">
            <v>9687847</v>
          </cell>
          <cell r="Q203">
            <v>9822014</v>
          </cell>
          <cell r="R203">
            <v>9947906</v>
          </cell>
          <cell r="S203">
            <v>10072988</v>
          </cell>
          <cell r="T203">
            <v>10196514</v>
          </cell>
          <cell r="U203">
            <v>10317211</v>
          </cell>
          <cell r="V203">
            <v>10434235</v>
          </cell>
          <cell r="W203" t="str">
            <v>ARE</v>
          </cell>
          <cell r="X203"/>
          <cell r="Y203"/>
          <cell r="Z203"/>
          <cell r="AA203"/>
          <cell r="AB203"/>
          <cell r="AC203"/>
          <cell r="AD203"/>
        </row>
        <row r="204">
          <cell r="A204" t="str">
            <v>United Kingdom of Great Britain and Northern Ireland</v>
          </cell>
          <cell r="B204" t="str">
            <v>GBR</v>
          </cell>
          <cell r="C204" t="str">
            <v xml:space="preserve"> </v>
          </cell>
          <cell r="D204" t="str">
            <v>EME</v>
          </cell>
          <cell r="E204" t="str">
            <v xml:space="preserve"> </v>
          </cell>
          <cell r="F204">
            <v>1</v>
          </cell>
          <cell r="G204">
            <v>62716684</v>
          </cell>
          <cell r="H204">
            <v>63164949</v>
          </cell>
          <cell r="I204">
            <v>63573766</v>
          </cell>
          <cell r="J204">
            <v>63955654</v>
          </cell>
          <cell r="K204">
            <v>64331348</v>
          </cell>
          <cell r="L204">
            <v>64715810</v>
          </cell>
          <cell r="M204">
            <v>65111143</v>
          </cell>
          <cell r="N204">
            <v>65511098</v>
          </cell>
          <cell r="O204">
            <v>65912569</v>
          </cell>
          <cell r="P204">
            <v>66310255</v>
          </cell>
          <cell r="Q204">
            <v>66700126</v>
          </cell>
          <cell r="R204">
            <v>67081862</v>
          </cell>
          <cell r="S204">
            <v>67456523</v>
          </cell>
          <cell r="T204">
            <v>67822997</v>
          </cell>
          <cell r="U204">
            <v>68180129</v>
          </cell>
          <cell r="V204">
            <v>68527121</v>
          </cell>
          <cell r="W204" t="str">
            <v>GBR</v>
          </cell>
          <cell r="X204"/>
          <cell r="Y204"/>
          <cell r="Z204"/>
          <cell r="AA204"/>
          <cell r="AB204"/>
          <cell r="AC204"/>
          <cell r="AD204"/>
        </row>
        <row r="205">
          <cell r="A205" t="str">
            <v>United Republic of Tanzania</v>
          </cell>
          <cell r="B205" t="str">
            <v>TZA</v>
          </cell>
          <cell r="C205" t="str">
            <v xml:space="preserve"> </v>
          </cell>
          <cell r="D205" t="str">
            <v>AFRhigh</v>
          </cell>
          <cell r="E205" t="str">
            <v xml:space="preserve"> </v>
          </cell>
          <cell r="F205">
            <v>1654</v>
          </cell>
          <cell r="G205">
            <v>45648525</v>
          </cell>
          <cell r="H205">
            <v>47122998</v>
          </cell>
          <cell r="I205">
            <v>48645709</v>
          </cell>
          <cell r="J205">
            <v>50213457</v>
          </cell>
          <cell r="K205">
            <v>51822621</v>
          </cell>
          <cell r="L205">
            <v>53470420</v>
          </cell>
          <cell r="M205">
            <v>55155473</v>
          </cell>
          <cell r="N205">
            <v>56877529</v>
          </cell>
          <cell r="O205">
            <v>58636512</v>
          </cell>
          <cell r="P205">
            <v>60432917</v>
          </cell>
          <cell r="Q205">
            <v>62267349</v>
          </cell>
          <cell r="R205">
            <v>64139497</v>
          </cell>
          <cell r="S205">
            <v>66049703</v>
          </cell>
          <cell r="T205">
            <v>68000153</v>
          </cell>
          <cell r="U205">
            <v>69993770</v>
          </cell>
          <cell r="V205">
            <v>72032837</v>
          </cell>
          <cell r="W205" t="str">
            <v>TZA</v>
          </cell>
          <cell r="X205"/>
          <cell r="Y205"/>
          <cell r="Z205"/>
          <cell r="AA205"/>
          <cell r="AB205"/>
          <cell r="AC205"/>
          <cell r="AD205"/>
        </row>
        <row r="206">
          <cell r="A206" t="str">
            <v>United States of America</v>
          </cell>
          <cell r="B206" t="str">
            <v>USA</v>
          </cell>
          <cell r="C206" t="str">
            <v xml:space="preserve"> </v>
          </cell>
          <cell r="D206" t="str">
            <v>EME</v>
          </cell>
          <cell r="E206" t="str">
            <v xml:space="preserve"> </v>
          </cell>
          <cell r="F206">
            <v>1</v>
          </cell>
          <cell r="G206">
            <v>309876170</v>
          </cell>
          <cell r="H206">
            <v>312390368</v>
          </cell>
          <cell r="I206">
            <v>314799465</v>
          </cell>
          <cell r="J206">
            <v>317135919</v>
          </cell>
          <cell r="K206">
            <v>319448634</v>
          </cell>
          <cell r="L206">
            <v>321773631</v>
          </cell>
          <cell r="M206">
            <v>324118787</v>
          </cell>
          <cell r="N206">
            <v>326474013</v>
          </cell>
          <cell r="O206">
            <v>328835763</v>
          </cell>
          <cell r="P206">
            <v>331195364</v>
          </cell>
          <cell r="Q206">
            <v>333545530</v>
          </cell>
          <cell r="R206">
            <v>335886746</v>
          </cell>
          <cell r="S206">
            <v>338219677</v>
          </cell>
          <cell r="T206">
            <v>340536605</v>
          </cell>
          <cell r="U206">
            <v>342827583</v>
          </cell>
          <cell r="V206">
            <v>345084551</v>
          </cell>
          <cell r="W206" t="str">
            <v>USA</v>
          </cell>
          <cell r="X206"/>
          <cell r="Y206"/>
          <cell r="Z206"/>
          <cell r="AA206"/>
          <cell r="AB206"/>
          <cell r="AC206"/>
          <cell r="AD206"/>
        </row>
        <row r="207">
          <cell r="A207" t="str">
            <v>Uruguay</v>
          </cell>
          <cell r="B207" t="str">
            <v>URY</v>
          </cell>
          <cell r="C207" t="str">
            <v>URU</v>
          </cell>
          <cell r="D207" t="str">
            <v>LAC</v>
          </cell>
          <cell r="E207">
            <v>0</v>
          </cell>
          <cell r="F207">
            <v>23</v>
          </cell>
          <cell r="G207">
            <v>3374414</v>
          </cell>
          <cell r="H207">
            <v>3385610</v>
          </cell>
          <cell r="I207">
            <v>3396753</v>
          </cell>
          <cell r="J207">
            <v>3407969</v>
          </cell>
          <cell r="K207">
            <v>3419516</v>
          </cell>
          <cell r="L207">
            <v>3431555</v>
          </cell>
          <cell r="M207">
            <v>3444071</v>
          </cell>
          <cell r="N207">
            <v>3456877</v>
          </cell>
          <cell r="O207">
            <v>3469771</v>
          </cell>
          <cell r="P207">
            <v>3482486</v>
          </cell>
          <cell r="Q207">
            <v>3494818</v>
          </cell>
          <cell r="R207">
            <v>3506674</v>
          </cell>
          <cell r="S207">
            <v>3518059</v>
          </cell>
          <cell r="T207">
            <v>3529008</v>
          </cell>
          <cell r="U207">
            <v>3539593</v>
          </cell>
          <cell r="V207">
            <v>3549866</v>
          </cell>
          <cell r="W207" t="str">
            <v>URY</v>
          </cell>
          <cell r="X207"/>
          <cell r="Y207"/>
          <cell r="Z207"/>
          <cell r="AA207"/>
          <cell r="AB207"/>
          <cell r="AC207"/>
          <cell r="AD207"/>
        </row>
        <row r="208">
          <cell r="A208" t="str">
            <v>US Virgin Islands</v>
          </cell>
          <cell r="B208" t="str">
            <v>VIR</v>
          </cell>
          <cell r="C208" t="str">
            <v>VUS</v>
          </cell>
          <cell r="D208" t="str">
            <v>LAC</v>
          </cell>
          <cell r="E208">
            <v>0</v>
          </cell>
          <cell r="F208">
            <v>1</v>
          </cell>
          <cell r="G208">
            <v>106382</v>
          </cell>
          <cell r="H208">
            <v>106244</v>
          </cell>
          <cell r="I208">
            <v>106174</v>
          </cell>
          <cell r="J208">
            <v>106166</v>
          </cell>
          <cell r="K208">
            <v>106208</v>
          </cell>
          <cell r="L208">
            <v>106291</v>
          </cell>
          <cell r="M208">
            <v>106415</v>
          </cell>
          <cell r="N208">
            <v>106574</v>
          </cell>
          <cell r="O208">
            <v>106746</v>
          </cell>
          <cell r="P208">
            <v>106901</v>
          </cell>
          <cell r="Q208">
            <v>107015</v>
          </cell>
          <cell r="R208">
            <v>107078</v>
          </cell>
          <cell r="S208">
            <v>107091</v>
          </cell>
          <cell r="T208">
            <v>107061</v>
          </cell>
          <cell r="U208">
            <v>107002</v>
          </cell>
          <cell r="V208">
            <v>106920</v>
          </cell>
          <cell r="W208" t="str">
            <v>VIR</v>
          </cell>
          <cell r="X208"/>
          <cell r="Y208"/>
          <cell r="Z208"/>
          <cell r="AA208"/>
          <cell r="AB208"/>
          <cell r="AC208"/>
          <cell r="AD208"/>
        </row>
        <row r="209">
          <cell r="A209" t="str">
            <v>Uzbekistan</v>
          </cell>
          <cell r="B209" t="str">
            <v>UZB</v>
          </cell>
          <cell r="C209" t="str">
            <v>UZB</v>
          </cell>
          <cell r="D209" t="str">
            <v>EEUR</v>
          </cell>
          <cell r="E209" t="str">
            <v>Sum</v>
          </cell>
          <cell r="F209">
            <v>0</v>
          </cell>
          <cell r="G209">
            <v>27739764</v>
          </cell>
          <cell r="H209">
            <v>28158395</v>
          </cell>
          <cell r="I209">
            <v>28592451</v>
          </cell>
          <cell r="J209">
            <v>29033361</v>
          </cell>
          <cell r="K209">
            <v>29469913</v>
          </cell>
          <cell r="L209">
            <v>29893488</v>
          </cell>
          <cell r="M209">
            <v>30300446</v>
          </cell>
          <cell r="N209">
            <v>30690914</v>
          </cell>
          <cell r="O209">
            <v>31064765</v>
          </cell>
          <cell r="P209">
            <v>31423298</v>
          </cell>
          <cell r="Q209">
            <v>31767440</v>
          </cell>
          <cell r="R209">
            <v>32096496</v>
          </cell>
          <cell r="S209">
            <v>32409334</v>
          </cell>
          <cell r="T209">
            <v>32706213</v>
          </cell>
          <cell r="U209">
            <v>32987696</v>
          </cell>
          <cell r="V209">
            <v>33254460</v>
          </cell>
          <cell r="W209" t="str">
            <v>UZB</v>
          </cell>
          <cell r="X209"/>
          <cell r="Y209"/>
          <cell r="Z209"/>
          <cell r="AA209"/>
          <cell r="AB209"/>
          <cell r="AC209"/>
          <cell r="AD209"/>
        </row>
        <row r="210">
          <cell r="A210" t="str">
            <v>Vanuatu</v>
          </cell>
          <cell r="B210" t="str">
            <v>VUT</v>
          </cell>
          <cell r="C210" t="str">
            <v>VAN</v>
          </cell>
          <cell r="D210" t="str">
            <v>WPR</v>
          </cell>
          <cell r="E210" t="str">
            <v>Vatu</v>
          </cell>
          <cell r="F210">
            <v>97</v>
          </cell>
          <cell r="G210">
            <v>236299</v>
          </cell>
          <cell r="H210">
            <v>241876</v>
          </cell>
          <cell r="I210">
            <v>247498</v>
          </cell>
          <cell r="J210">
            <v>253165</v>
          </cell>
          <cell r="K210">
            <v>258883</v>
          </cell>
          <cell r="L210">
            <v>264652</v>
          </cell>
          <cell r="M210">
            <v>270470</v>
          </cell>
          <cell r="N210">
            <v>276331</v>
          </cell>
          <cell r="O210">
            <v>282229</v>
          </cell>
          <cell r="P210">
            <v>288151</v>
          </cell>
          <cell r="Q210">
            <v>294092</v>
          </cell>
          <cell r="R210">
            <v>300048</v>
          </cell>
          <cell r="S210">
            <v>306017</v>
          </cell>
          <cell r="T210">
            <v>312002</v>
          </cell>
          <cell r="U210">
            <v>318003</v>
          </cell>
          <cell r="V210">
            <v>324021</v>
          </cell>
          <cell r="W210" t="str">
            <v>VUT</v>
          </cell>
          <cell r="X210"/>
          <cell r="Y210"/>
          <cell r="Z210"/>
          <cell r="AA210"/>
          <cell r="AB210"/>
          <cell r="AC210"/>
          <cell r="AD210"/>
        </row>
        <row r="211">
          <cell r="A211" t="str">
            <v>Venezuela (Bolivarian Republic of)</v>
          </cell>
          <cell r="B211" t="str">
            <v>VEN</v>
          </cell>
          <cell r="C211" t="str">
            <v xml:space="preserve"> </v>
          </cell>
          <cell r="D211" t="str">
            <v>LAC</v>
          </cell>
          <cell r="E211" t="str">
            <v xml:space="preserve"> </v>
          </cell>
          <cell r="F211">
            <v>6</v>
          </cell>
          <cell r="G211">
            <v>28995745</v>
          </cell>
          <cell r="H211">
            <v>29427631</v>
          </cell>
          <cell r="I211">
            <v>29854238</v>
          </cell>
          <cell r="J211">
            <v>30276045</v>
          </cell>
          <cell r="K211">
            <v>30693827</v>
          </cell>
          <cell r="L211">
            <v>31108083</v>
          </cell>
          <cell r="M211">
            <v>31518855</v>
          </cell>
          <cell r="N211">
            <v>31925705</v>
          </cell>
          <cell r="O211">
            <v>32328063</v>
          </cell>
          <cell r="P211">
            <v>32725144</v>
          </cell>
          <cell r="Q211">
            <v>33116329</v>
          </cell>
          <cell r="R211">
            <v>33501360</v>
          </cell>
          <cell r="S211">
            <v>33880197</v>
          </cell>
          <cell r="T211">
            <v>34252694</v>
          </cell>
          <cell r="U211">
            <v>34618760</v>
          </cell>
          <cell r="V211">
            <v>34978301</v>
          </cell>
          <cell r="W211" t="str">
            <v>VEN</v>
          </cell>
          <cell r="X211"/>
          <cell r="Y211"/>
          <cell r="Z211"/>
          <cell r="AA211"/>
          <cell r="AB211"/>
          <cell r="AC211"/>
          <cell r="AD211"/>
        </row>
        <row r="212">
          <cell r="A212" t="str">
            <v>Viet Nam</v>
          </cell>
          <cell r="B212" t="str">
            <v>VNM</v>
          </cell>
          <cell r="C212" t="str">
            <v>VTN</v>
          </cell>
          <cell r="D212" t="str">
            <v>WPR</v>
          </cell>
          <cell r="E212" t="str">
            <v>Dong</v>
          </cell>
          <cell r="F212">
            <v>21148</v>
          </cell>
          <cell r="G212">
            <v>88357775</v>
          </cell>
          <cell r="H212">
            <v>89321903</v>
          </cell>
          <cell r="I212">
            <v>90335547</v>
          </cell>
          <cell r="J212">
            <v>91378752</v>
          </cell>
          <cell r="K212">
            <v>92423338</v>
          </cell>
          <cell r="L212">
            <v>93447601</v>
          </cell>
          <cell r="M212">
            <v>94444200</v>
          </cell>
          <cell r="N212">
            <v>95414640</v>
          </cell>
          <cell r="O212">
            <v>96356744</v>
          </cell>
          <cell r="P212">
            <v>97270778</v>
          </cell>
          <cell r="Q212">
            <v>98156617</v>
          </cell>
          <cell r="R212">
            <v>99011684</v>
          </cell>
          <cell r="S212">
            <v>99832970</v>
          </cell>
          <cell r="T212">
            <v>100620004</v>
          </cell>
          <cell r="U212">
            <v>101373039</v>
          </cell>
          <cell r="V212">
            <v>102092604</v>
          </cell>
          <cell r="W212" t="str">
            <v>VNM</v>
          </cell>
          <cell r="X212"/>
          <cell r="Y212"/>
          <cell r="Z212"/>
          <cell r="AA212"/>
          <cell r="AB212"/>
          <cell r="AC212"/>
          <cell r="AD212"/>
        </row>
        <row r="213">
          <cell r="A213" t="str">
            <v>Wallis and Futuna Islands</v>
          </cell>
          <cell r="B213" t="str">
            <v>WLF</v>
          </cell>
          <cell r="C213" t="str">
            <v xml:space="preserve"> </v>
          </cell>
          <cell r="D213" t="str">
            <v>WPR</v>
          </cell>
          <cell r="E213" t="str">
            <v xml:space="preserve"> </v>
          </cell>
          <cell r="F213" t="e">
            <v>#N/A</v>
          </cell>
          <cell r="G213">
            <v>13565</v>
          </cell>
          <cell r="H213">
            <v>13450</v>
          </cell>
          <cell r="I213">
            <v>13352</v>
          </cell>
          <cell r="J213">
            <v>13270</v>
          </cell>
          <cell r="K213">
            <v>13204</v>
          </cell>
          <cell r="L213">
            <v>13151</v>
          </cell>
          <cell r="M213">
            <v>13112</v>
          </cell>
          <cell r="N213">
            <v>13090</v>
          </cell>
          <cell r="O213">
            <v>13079</v>
          </cell>
          <cell r="P213">
            <v>13081</v>
          </cell>
          <cell r="Q213">
            <v>13090</v>
          </cell>
          <cell r="R213">
            <v>13107</v>
          </cell>
          <cell r="S213">
            <v>13131</v>
          </cell>
          <cell r="T213">
            <v>13159</v>
          </cell>
          <cell r="U213">
            <v>13188</v>
          </cell>
          <cell r="V213">
            <v>13214</v>
          </cell>
          <cell r="W213" t="str">
            <v>WLF</v>
          </cell>
          <cell r="X213"/>
          <cell r="Y213"/>
          <cell r="Z213"/>
          <cell r="AA213"/>
          <cell r="AB213"/>
          <cell r="AC213"/>
          <cell r="AD213"/>
        </row>
        <row r="214">
          <cell r="A214" t="str">
            <v>West Bank and Gaza Strip</v>
          </cell>
          <cell r="B214" t="str">
            <v>PSE</v>
          </cell>
          <cell r="C214" t="str">
            <v>OPT</v>
          </cell>
          <cell r="D214" t="str">
            <v>EMR</v>
          </cell>
          <cell r="E214">
            <v>0</v>
          </cell>
          <cell r="F214">
            <v>0</v>
          </cell>
          <cell r="G214">
            <v>4068780</v>
          </cell>
          <cell r="H214">
            <v>4181135</v>
          </cell>
          <cell r="I214">
            <v>4297826</v>
          </cell>
          <cell r="J214">
            <v>4418341</v>
          </cell>
          <cell r="K214">
            <v>4542059</v>
          </cell>
          <cell r="L214">
            <v>4668466</v>
          </cell>
          <cell r="M214">
            <v>4797239</v>
          </cell>
          <cell r="N214">
            <v>4928225</v>
          </cell>
          <cell r="O214">
            <v>5061292</v>
          </cell>
          <cell r="P214">
            <v>5196375</v>
          </cell>
          <cell r="Q214">
            <v>5333377</v>
          </cell>
          <cell r="R214">
            <v>5472149</v>
          </cell>
          <cell r="S214">
            <v>5612458</v>
          </cell>
          <cell r="T214">
            <v>5754038</v>
          </cell>
          <cell r="U214">
            <v>5896589</v>
          </cell>
          <cell r="V214">
            <v>6039876</v>
          </cell>
          <cell r="W214" t="str">
            <v>PSE</v>
          </cell>
          <cell r="X214"/>
          <cell r="Y214"/>
          <cell r="Z214"/>
          <cell r="AA214"/>
          <cell r="AB214"/>
          <cell r="AC214"/>
          <cell r="AD214"/>
        </row>
        <row r="215">
          <cell r="A215" t="str">
            <v>Yemen</v>
          </cell>
          <cell r="B215" t="str">
            <v>YEM</v>
          </cell>
          <cell r="C215" t="str">
            <v>YEM</v>
          </cell>
          <cell r="D215" t="str">
            <v>EMR</v>
          </cell>
          <cell r="E215" t="str">
            <v>Rial</v>
          </cell>
          <cell r="F215">
            <v>215</v>
          </cell>
          <cell r="G215">
            <v>23591972</v>
          </cell>
          <cell r="H215">
            <v>24234940</v>
          </cell>
          <cell r="I215">
            <v>24882792</v>
          </cell>
          <cell r="J215">
            <v>25533217</v>
          </cell>
          <cell r="K215">
            <v>26183676</v>
          </cell>
          <cell r="L215">
            <v>26832215</v>
          </cell>
          <cell r="M215">
            <v>27477600</v>
          </cell>
          <cell r="N215">
            <v>28119546</v>
          </cell>
          <cell r="O215">
            <v>28758331</v>
          </cell>
          <cell r="P215">
            <v>29394778</v>
          </cell>
          <cell r="Q215">
            <v>30029558</v>
          </cell>
          <cell r="R215">
            <v>30662105</v>
          </cell>
          <cell r="S215">
            <v>31292123</v>
          </cell>
          <cell r="T215">
            <v>31920900</v>
          </cell>
          <cell r="U215">
            <v>32550199</v>
          </cell>
          <cell r="V215">
            <v>33181104</v>
          </cell>
          <cell r="W215" t="str">
            <v>YEM</v>
          </cell>
          <cell r="X215"/>
          <cell r="Y215"/>
          <cell r="Z215"/>
          <cell r="AA215"/>
          <cell r="AB215"/>
          <cell r="AC215"/>
          <cell r="AD215"/>
        </row>
        <row r="216">
          <cell r="A216" t="str">
            <v>Zambia</v>
          </cell>
          <cell r="B216" t="str">
            <v>ZMB</v>
          </cell>
          <cell r="C216" t="str">
            <v>ZAM</v>
          </cell>
          <cell r="D216" t="str">
            <v>AFRhigh</v>
          </cell>
          <cell r="E216" t="str">
            <v>Kwacha</v>
          </cell>
          <cell r="F216">
            <v>6</v>
          </cell>
          <cell r="G216">
            <v>13917439</v>
          </cell>
          <cell r="H216">
            <v>14343526</v>
          </cell>
          <cell r="I216">
            <v>14786581</v>
          </cell>
          <cell r="J216">
            <v>15246086</v>
          </cell>
          <cell r="K216">
            <v>15721343</v>
          </cell>
          <cell r="L216">
            <v>16211767</v>
          </cell>
          <cell r="M216">
            <v>16717332</v>
          </cell>
          <cell r="N216">
            <v>17237931</v>
          </cell>
          <cell r="O216">
            <v>17772835</v>
          </cell>
          <cell r="P216">
            <v>18321152</v>
          </cell>
          <cell r="Q216">
            <v>18882333</v>
          </cell>
          <cell r="R216">
            <v>19456005</v>
          </cell>
          <cell r="S216">
            <v>20042549</v>
          </cell>
          <cell r="T216">
            <v>20643125</v>
          </cell>
          <cell r="U216">
            <v>21259366</v>
          </cell>
          <cell r="V216">
            <v>21892487</v>
          </cell>
          <cell r="W216" t="str">
            <v>ZMB</v>
          </cell>
          <cell r="X216"/>
          <cell r="Y216"/>
          <cell r="Z216"/>
          <cell r="AA216"/>
          <cell r="AB216"/>
          <cell r="AC216"/>
          <cell r="AD216"/>
        </row>
        <row r="217">
          <cell r="A217" t="str">
            <v>Zimbabwe</v>
          </cell>
          <cell r="B217" t="str">
            <v>ZWE</v>
          </cell>
          <cell r="C217" t="str">
            <v>ZIM</v>
          </cell>
          <cell r="D217" t="str">
            <v>AFRhigh</v>
          </cell>
          <cell r="E217" t="str">
            <v>Zimbabwe Dollar</v>
          </cell>
          <cell r="F217">
            <v>0</v>
          </cell>
          <cell r="G217">
            <v>13973897</v>
          </cell>
          <cell r="H217">
            <v>14255592</v>
          </cell>
          <cell r="I217">
            <v>14565482</v>
          </cell>
          <cell r="J217">
            <v>14898092</v>
          </cell>
          <cell r="K217">
            <v>15245855</v>
          </cell>
          <cell r="L217">
            <v>15602751</v>
          </cell>
          <cell r="M217">
            <v>15966810</v>
          </cell>
          <cell r="N217">
            <v>16337760</v>
          </cell>
          <cell r="O217">
            <v>16713345</v>
          </cell>
          <cell r="P217">
            <v>17091504</v>
          </cell>
          <cell r="Q217">
            <v>17470705</v>
          </cell>
          <cell r="R217">
            <v>17849276</v>
          </cell>
          <cell r="S217">
            <v>18226790</v>
          </cell>
          <cell r="T217">
            <v>18604651</v>
          </cell>
          <cell r="U217">
            <v>18985235</v>
          </cell>
          <cell r="V217">
            <v>19370256</v>
          </cell>
          <cell r="W217" t="str">
            <v>ZWE</v>
          </cell>
          <cell r="X217"/>
          <cell r="Y217"/>
          <cell r="Z217"/>
          <cell r="AA217"/>
          <cell r="AB217"/>
          <cell r="AC217"/>
          <cell r="AD217"/>
        </row>
        <row r="218">
          <cell r="A218" t="str">
            <v>Tubercoland AFR</v>
          </cell>
          <cell r="B218" t="str">
            <v>TBL</v>
          </cell>
          <cell r="C218" t="str">
            <v>TBL</v>
          </cell>
          <cell r="D218" t="str">
            <v>AFRhigh</v>
          </cell>
          <cell r="E218" t="str">
            <v>Tuberco Pocak</v>
          </cell>
          <cell r="F218">
            <v>240</v>
          </cell>
          <cell r="G218">
            <v>39785560</v>
          </cell>
          <cell r="H218">
            <v>39785560</v>
          </cell>
          <cell r="I218">
            <v>39785560</v>
          </cell>
          <cell r="J218">
            <v>39785560</v>
          </cell>
          <cell r="K218">
            <v>39785560</v>
          </cell>
          <cell r="L218">
            <v>39785560</v>
          </cell>
          <cell r="M218">
            <v>39785560</v>
          </cell>
          <cell r="N218">
            <v>39785560</v>
          </cell>
          <cell r="O218">
            <v>39785560</v>
          </cell>
          <cell r="P218">
            <v>39785560</v>
          </cell>
          <cell r="Q218">
            <v>39785560</v>
          </cell>
          <cell r="R218">
            <v>39785560</v>
          </cell>
          <cell r="S218">
            <v>39785560</v>
          </cell>
          <cell r="T218">
            <v>39785560</v>
          </cell>
          <cell r="U218">
            <v>39785560</v>
          </cell>
          <cell r="V218">
            <v>39785560</v>
          </cell>
          <cell r="W218" t="str">
            <v>Tubercoland AFR</v>
          </cell>
        </row>
        <row r="219">
          <cell r="A219" t="str">
            <v>Tubercoland EUR</v>
          </cell>
          <cell r="B219" t="str">
            <v>TBE</v>
          </cell>
          <cell r="C219" t="str">
            <v>TBLE</v>
          </cell>
          <cell r="D219" t="str">
            <v>EEUR</v>
          </cell>
          <cell r="E219" t="str">
            <v>Tuberco Pocak</v>
          </cell>
          <cell r="F219">
            <v>240</v>
          </cell>
          <cell r="G219">
            <v>39785560</v>
          </cell>
          <cell r="H219">
            <v>39785560</v>
          </cell>
          <cell r="I219">
            <v>39785560</v>
          </cell>
          <cell r="J219">
            <v>39785560</v>
          </cell>
          <cell r="K219">
            <v>39785560</v>
          </cell>
          <cell r="L219">
            <v>39785560</v>
          </cell>
          <cell r="M219">
            <v>39785560</v>
          </cell>
          <cell r="N219">
            <v>39785560</v>
          </cell>
          <cell r="O219">
            <v>39785560</v>
          </cell>
          <cell r="P219">
            <v>39785560</v>
          </cell>
          <cell r="Q219">
            <v>39785560</v>
          </cell>
          <cell r="R219">
            <v>39785560</v>
          </cell>
          <cell r="S219">
            <v>39785560</v>
          </cell>
          <cell r="T219">
            <v>39785560</v>
          </cell>
          <cell r="U219">
            <v>39785560</v>
          </cell>
          <cell r="V219">
            <v>39785560</v>
          </cell>
          <cell r="W219" t="str">
            <v>Tubercoland EUR</v>
          </cell>
        </row>
      </sheetData>
      <sheetData sheetId="1"/>
      <sheetData sheetId="2"/>
      <sheetData sheetId="3"/>
      <sheetData sheetId="4"/>
      <sheetData sheetId="5"/>
      <sheetData sheetId="6"/>
      <sheetData sheetId="7"/>
      <sheetData sheetId="8"/>
      <sheetData sheetId="9"/>
      <sheetData sheetId="10"/>
      <sheetData sheetId="11"/>
      <sheetData sheetId="12">
        <row r="9">
          <cell r="G9" t="str">
            <v>Kenya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
      <sheetName val="2. Menu"/>
      <sheetName val="3. Guide"/>
      <sheetName val="4. Parameters"/>
      <sheetName val="5. Unit costs"/>
      <sheetName val="Cost_data"/>
      <sheetName val="Factsheet"/>
      <sheetName val="6. Training materials"/>
      <sheetName val="7. Training programme"/>
      <sheetName val="8.Site mentorship &amp; supervision"/>
      <sheetName val="9. Results Summary"/>
      <sheetName val="10. Notes &amp; Assumptions"/>
      <sheetName val="11. References"/>
    </sheetNames>
    <sheetDataSet>
      <sheetData sheetId="0"/>
      <sheetData sheetId="1"/>
      <sheetData sheetId="2"/>
      <sheetData sheetId="3">
        <row r="5">
          <cell r="B5" t="str">
            <v>Zimbabwe</v>
          </cell>
        </row>
        <row r="9">
          <cell r="B9">
            <v>2020</v>
          </cell>
        </row>
        <row r="11">
          <cell r="B11" t="str">
            <v>USD</v>
          </cell>
        </row>
        <row r="12">
          <cell r="B12" t="str">
            <v>ZWL</v>
          </cell>
        </row>
        <row r="13">
          <cell r="B13">
            <v>20</v>
          </cell>
        </row>
        <row r="18">
          <cell r="C18">
            <v>80</v>
          </cell>
        </row>
        <row r="19">
          <cell r="C19">
            <v>1</v>
          </cell>
        </row>
        <row r="20">
          <cell r="C20">
            <v>1</v>
          </cell>
        </row>
        <row r="22">
          <cell r="C22">
            <v>1</v>
          </cell>
        </row>
        <row r="24">
          <cell r="C24">
            <v>2</v>
          </cell>
        </row>
        <row r="26">
          <cell r="C26">
            <v>1</v>
          </cell>
        </row>
        <row r="28">
          <cell r="C28">
            <v>5</v>
          </cell>
        </row>
        <row r="32">
          <cell r="C32">
            <v>1</v>
          </cell>
        </row>
        <row r="33">
          <cell r="C33">
            <v>5</v>
          </cell>
        </row>
        <row r="35">
          <cell r="C35">
            <v>0</v>
          </cell>
        </row>
        <row r="36">
          <cell r="C36">
            <v>2</v>
          </cell>
        </row>
        <row r="37">
          <cell r="C37">
            <v>2</v>
          </cell>
        </row>
        <row r="38">
          <cell r="C38">
            <v>0</v>
          </cell>
        </row>
        <row r="39">
          <cell r="C39">
            <v>0</v>
          </cell>
        </row>
        <row r="40">
          <cell r="C40">
            <v>2</v>
          </cell>
        </row>
        <row r="43">
          <cell r="C43">
            <v>0</v>
          </cell>
        </row>
        <row r="44">
          <cell r="C44">
            <v>3</v>
          </cell>
        </row>
        <row r="46">
          <cell r="C46">
            <v>0</v>
          </cell>
        </row>
        <row r="47">
          <cell r="C47">
            <v>2</v>
          </cell>
        </row>
        <row r="48">
          <cell r="C48">
            <v>0</v>
          </cell>
        </row>
        <row r="49">
          <cell r="C49">
            <v>0</v>
          </cell>
        </row>
        <row r="50">
          <cell r="C50">
            <v>2</v>
          </cell>
        </row>
        <row r="51">
          <cell r="C51">
            <v>2</v>
          </cell>
        </row>
        <row r="55">
          <cell r="C55">
            <v>2</v>
          </cell>
        </row>
        <row r="56">
          <cell r="C56">
            <v>5</v>
          </cell>
        </row>
        <row r="57">
          <cell r="C57">
            <v>25</v>
          </cell>
        </row>
        <row r="58">
          <cell r="C58">
            <v>25</v>
          </cell>
        </row>
        <row r="59">
          <cell r="C59">
            <v>25</v>
          </cell>
        </row>
        <row r="60">
          <cell r="C60">
            <v>2</v>
          </cell>
        </row>
        <row r="61">
          <cell r="C61">
            <v>25</v>
          </cell>
        </row>
        <row r="62">
          <cell r="C62">
            <v>2</v>
          </cell>
        </row>
        <row r="63">
          <cell r="C63">
            <v>27</v>
          </cell>
        </row>
        <row r="69">
          <cell r="C69">
            <v>2</v>
          </cell>
        </row>
        <row r="70">
          <cell r="C70">
            <v>3</v>
          </cell>
        </row>
        <row r="71">
          <cell r="C71">
            <v>20</v>
          </cell>
        </row>
        <row r="72">
          <cell r="C72">
            <v>2</v>
          </cell>
        </row>
        <row r="73">
          <cell r="C73">
            <v>2</v>
          </cell>
        </row>
        <row r="74">
          <cell r="C74">
            <v>0</v>
          </cell>
        </row>
        <row r="76">
          <cell r="C76">
            <v>0</v>
          </cell>
        </row>
        <row r="77">
          <cell r="C77">
            <v>22</v>
          </cell>
        </row>
        <row r="83">
          <cell r="C83">
            <v>1</v>
          </cell>
        </row>
        <row r="84">
          <cell r="C84">
            <v>2</v>
          </cell>
        </row>
        <row r="85">
          <cell r="C85">
            <v>2</v>
          </cell>
        </row>
        <row r="86">
          <cell r="C86">
            <v>1</v>
          </cell>
        </row>
        <row r="87">
          <cell r="C87">
            <v>3</v>
          </cell>
        </row>
        <row r="88">
          <cell r="C88">
            <v>0</v>
          </cell>
        </row>
        <row r="89">
          <cell r="C89">
            <v>0.1</v>
          </cell>
        </row>
        <row r="94">
          <cell r="C94">
            <v>1</v>
          </cell>
        </row>
        <row r="95">
          <cell r="C95">
            <v>2</v>
          </cell>
        </row>
        <row r="96">
          <cell r="C96">
            <v>2</v>
          </cell>
        </row>
        <row r="97">
          <cell r="C97">
            <v>1</v>
          </cell>
        </row>
        <row r="98">
          <cell r="C98">
            <v>3</v>
          </cell>
        </row>
        <row r="99">
          <cell r="C99">
            <v>0</v>
          </cell>
        </row>
        <row r="100">
          <cell r="C100">
            <v>0.1</v>
          </cell>
        </row>
        <row r="106">
          <cell r="C106">
            <v>4</v>
          </cell>
        </row>
        <row r="107">
          <cell r="C107">
            <v>1</v>
          </cell>
        </row>
        <row r="108">
          <cell r="C108">
            <v>2</v>
          </cell>
        </row>
        <row r="109">
          <cell r="C109">
            <v>1</v>
          </cell>
        </row>
        <row r="110">
          <cell r="C110">
            <v>3</v>
          </cell>
        </row>
        <row r="111">
          <cell r="C111">
            <v>0.1</v>
          </cell>
        </row>
      </sheetData>
      <sheetData sheetId="4">
        <row r="25">
          <cell r="I25">
            <v>200</v>
          </cell>
        </row>
        <row r="26">
          <cell r="I26">
            <v>71</v>
          </cell>
        </row>
        <row r="28">
          <cell r="I28">
            <v>53</v>
          </cell>
        </row>
        <row r="29">
          <cell r="I29">
            <v>91.5</v>
          </cell>
        </row>
        <row r="30">
          <cell r="I30">
            <v>36.5</v>
          </cell>
        </row>
        <row r="31">
          <cell r="I31">
            <v>26</v>
          </cell>
        </row>
        <row r="36">
          <cell r="I36">
            <v>40</v>
          </cell>
        </row>
        <row r="37">
          <cell r="I37">
            <v>50.75</v>
          </cell>
        </row>
        <row r="38">
          <cell r="I38">
            <v>50.75</v>
          </cell>
        </row>
        <row r="39">
          <cell r="I39">
            <v>19</v>
          </cell>
        </row>
        <row r="41">
          <cell r="I41">
            <v>49.75</v>
          </cell>
        </row>
        <row r="42">
          <cell r="I42">
            <v>32.5</v>
          </cell>
        </row>
        <row r="43">
          <cell r="I43">
            <v>32.5</v>
          </cell>
        </row>
        <row r="44">
          <cell r="I44">
            <v>393.33333333333331</v>
          </cell>
        </row>
        <row r="46">
          <cell r="I46">
            <v>64</v>
          </cell>
        </row>
        <row r="47">
          <cell r="I47">
            <v>3.65</v>
          </cell>
        </row>
        <row r="48">
          <cell r="I48">
            <v>41.722410865874366</v>
          </cell>
        </row>
        <row r="51">
          <cell r="I51">
            <v>7.4525745257452574</v>
          </cell>
        </row>
        <row r="52">
          <cell r="I52">
            <v>0</v>
          </cell>
        </row>
        <row r="53">
          <cell r="I53">
            <v>0</v>
          </cell>
        </row>
        <row r="57">
          <cell r="I57">
            <v>42.2</v>
          </cell>
        </row>
        <row r="58">
          <cell r="I58">
            <v>54.5</v>
          </cell>
        </row>
        <row r="59">
          <cell r="I59">
            <v>67.911714770797957</v>
          </cell>
        </row>
        <row r="60">
          <cell r="I60">
            <v>50</v>
          </cell>
        </row>
        <row r="62">
          <cell r="I62">
            <v>18.738964346349746</v>
          </cell>
        </row>
        <row r="63">
          <cell r="I63">
            <v>145.67798528579513</v>
          </cell>
        </row>
        <row r="64">
          <cell r="I64">
            <v>2500</v>
          </cell>
        </row>
        <row r="66">
          <cell r="I66">
            <v>89.2</v>
          </cell>
        </row>
        <row r="67">
          <cell r="I67">
            <v>60.326375212224107</v>
          </cell>
        </row>
        <row r="68">
          <cell r="I68">
            <v>7.5466893039049241</v>
          </cell>
        </row>
        <row r="69">
          <cell r="I69">
            <v>0</v>
          </cell>
        </row>
        <row r="70">
          <cell r="I70">
            <v>23.47</v>
          </cell>
        </row>
        <row r="71">
          <cell r="I71">
            <v>23.47</v>
          </cell>
        </row>
        <row r="75">
          <cell r="I75">
            <v>40.4</v>
          </cell>
        </row>
        <row r="76">
          <cell r="I76">
            <v>40.4</v>
          </cell>
        </row>
        <row r="78">
          <cell r="I78">
            <v>158</v>
          </cell>
        </row>
        <row r="79">
          <cell r="I79">
            <v>12.333333333333334</v>
          </cell>
        </row>
        <row r="81">
          <cell r="I81">
            <v>87.75</v>
          </cell>
        </row>
        <row r="82">
          <cell r="I82">
            <v>33.524999999999999</v>
          </cell>
        </row>
        <row r="83">
          <cell r="I83">
            <v>6.666666666666667</v>
          </cell>
        </row>
        <row r="84">
          <cell r="I84">
            <v>0</v>
          </cell>
        </row>
        <row r="85">
          <cell r="I85">
            <v>10.345000000000001</v>
          </cell>
        </row>
        <row r="89">
          <cell r="I89">
            <v>11</v>
          </cell>
        </row>
        <row r="90">
          <cell r="I90">
            <v>47.5</v>
          </cell>
        </row>
        <row r="92">
          <cell r="I92">
            <v>11.333333333333334</v>
          </cell>
        </row>
        <row r="93">
          <cell r="I93">
            <v>54</v>
          </cell>
        </row>
        <row r="94">
          <cell r="I94">
            <v>260</v>
          </cell>
        </row>
        <row r="96">
          <cell r="I96">
            <v>26.5</v>
          </cell>
        </row>
        <row r="97">
          <cell r="I97">
            <v>3.2000000000000006</v>
          </cell>
        </row>
        <row r="98">
          <cell r="I98">
            <v>0</v>
          </cell>
        </row>
        <row r="99">
          <cell r="I99">
            <v>10.345000000000001</v>
          </cell>
        </row>
      </sheetData>
      <sheetData sheetId="5">
        <row r="11">
          <cell r="H11" t="str">
            <v>Cameroon</v>
          </cell>
          <cell r="I11" t="str">
            <v>Cote d'Ivoire</v>
          </cell>
          <cell r="J11" t="str">
            <v>DRC</v>
          </cell>
          <cell r="K11" t="str">
            <v>India</v>
          </cell>
          <cell r="L11" t="str">
            <v>Kenya</v>
          </cell>
          <cell r="M11" t="str">
            <v>Lesotho</v>
          </cell>
          <cell r="N11" t="str">
            <v>Malawi</v>
          </cell>
          <cell r="O11" t="str">
            <v>Tanzania</v>
          </cell>
          <cell r="P11" t="str">
            <v>Uganda</v>
          </cell>
          <cell r="Q11" t="str">
            <v>Zimbabwe</v>
          </cell>
        </row>
        <row r="12">
          <cell r="H12">
            <v>589</v>
          </cell>
          <cell r="I12">
            <v>589</v>
          </cell>
          <cell r="J12">
            <v>1685</v>
          </cell>
          <cell r="K12">
            <v>72</v>
          </cell>
          <cell r="L12">
            <v>101</v>
          </cell>
          <cell r="M12">
            <v>8885</v>
          </cell>
          <cell r="N12">
            <v>738</v>
          </cell>
          <cell r="O12">
            <v>2299</v>
          </cell>
          <cell r="P12">
            <v>3710</v>
          </cell>
          <cell r="Q12">
            <v>20</v>
          </cell>
        </row>
      </sheetData>
      <sheetData sheetId="6">
        <row r="2">
          <cell r="F2" t="str">
            <v>Definitions (Names)</v>
          </cell>
          <cell r="G2" t="str">
            <v>Global</v>
          </cell>
          <cell r="H2" t="str">
            <v>Cameroon</v>
          </cell>
          <cell r="I2" t="str">
            <v>Cote d'Ivoire</v>
          </cell>
          <cell r="J2" t="str">
            <v>DRC</v>
          </cell>
          <cell r="K2" t="str">
            <v>India</v>
          </cell>
          <cell r="L2" t="str">
            <v>Kenya</v>
          </cell>
          <cell r="M2" t="str">
            <v>Lesotho</v>
          </cell>
          <cell r="N2" t="str">
            <v>Malawi</v>
          </cell>
          <cell r="O2" t="str">
            <v>Tanzania</v>
          </cell>
          <cell r="P2" t="str">
            <v>Uganda</v>
          </cell>
          <cell r="Q2" t="str">
            <v>Zimbabwe</v>
          </cell>
        </row>
        <row r="17">
          <cell r="F17" t="str">
            <v>consultant_fee_training_materials</v>
          </cell>
          <cell r="G17">
            <v>200</v>
          </cell>
          <cell r="H17">
            <v>200</v>
          </cell>
          <cell r="I17">
            <v>0</v>
          </cell>
          <cell r="J17">
            <v>0</v>
          </cell>
          <cell r="K17">
            <v>0</v>
          </cell>
          <cell r="L17">
            <v>0</v>
          </cell>
          <cell r="M17">
            <v>0</v>
          </cell>
          <cell r="N17">
            <v>0</v>
          </cell>
          <cell r="O17">
            <v>0</v>
          </cell>
          <cell r="P17">
            <v>0</v>
          </cell>
          <cell r="Q17">
            <v>0</v>
          </cell>
        </row>
        <row r="18">
          <cell r="F18" t="str">
            <v>per_diem_pediatric_TB_committee</v>
          </cell>
          <cell r="G18">
            <v>71</v>
          </cell>
          <cell r="H18">
            <v>71</v>
          </cell>
          <cell r="I18">
            <v>0</v>
          </cell>
          <cell r="J18">
            <v>0</v>
          </cell>
          <cell r="K18">
            <v>0</v>
          </cell>
          <cell r="L18">
            <v>0</v>
          </cell>
          <cell r="M18">
            <v>0</v>
          </cell>
          <cell r="N18">
            <v>0</v>
          </cell>
          <cell r="O18">
            <v>0</v>
          </cell>
          <cell r="P18">
            <v>0</v>
          </cell>
          <cell r="Q18">
            <v>0</v>
          </cell>
        </row>
        <row r="19">
          <cell r="G19">
            <v>0</v>
          </cell>
          <cell r="H19">
            <v>0</v>
          </cell>
          <cell r="I19">
            <v>0</v>
          </cell>
          <cell r="J19">
            <v>0</v>
          </cell>
          <cell r="K19">
            <v>0</v>
          </cell>
          <cell r="L19">
            <v>0</v>
          </cell>
          <cell r="M19">
            <v>0</v>
          </cell>
          <cell r="N19">
            <v>0</v>
          </cell>
          <cell r="O19">
            <v>0</v>
          </cell>
          <cell r="P19">
            <v>0</v>
          </cell>
          <cell r="Q19">
            <v>0</v>
          </cell>
        </row>
        <row r="20">
          <cell r="F20" t="str">
            <v>transport_training_materials</v>
          </cell>
          <cell r="G20">
            <v>53</v>
          </cell>
          <cell r="H20">
            <v>90</v>
          </cell>
          <cell r="I20">
            <v>0</v>
          </cell>
          <cell r="J20">
            <v>0</v>
          </cell>
          <cell r="K20">
            <v>0</v>
          </cell>
          <cell r="L20">
            <v>0</v>
          </cell>
          <cell r="M20">
            <v>0</v>
          </cell>
          <cell r="N20">
            <v>0</v>
          </cell>
          <cell r="O20">
            <v>15</v>
          </cell>
          <cell r="P20">
            <v>54</v>
          </cell>
          <cell r="Q20">
            <v>0</v>
          </cell>
        </row>
        <row r="21">
          <cell r="F21" t="str">
            <v>room_rental_training_materials</v>
          </cell>
          <cell r="G21">
            <v>91.5</v>
          </cell>
          <cell r="H21">
            <v>53</v>
          </cell>
          <cell r="I21">
            <v>0</v>
          </cell>
          <cell r="J21">
            <v>0</v>
          </cell>
          <cell r="K21">
            <v>0</v>
          </cell>
          <cell r="L21">
            <v>0</v>
          </cell>
          <cell r="M21">
            <v>0</v>
          </cell>
          <cell r="N21">
            <v>0</v>
          </cell>
          <cell r="O21">
            <v>130</v>
          </cell>
          <cell r="P21">
            <v>0</v>
          </cell>
          <cell r="Q21">
            <v>0</v>
          </cell>
        </row>
        <row r="22">
          <cell r="F22" t="str">
            <v>refreshments_training_materials</v>
          </cell>
          <cell r="G22">
            <v>36.5</v>
          </cell>
          <cell r="H22">
            <v>0</v>
          </cell>
          <cell r="I22">
            <v>0</v>
          </cell>
          <cell r="J22">
            <v>0</v>
          </cell>
          <cell r="K22">
            <v>0</v>
          </cell>
          <cell r="L22">
            <v>0</v>
          </cell>
          <cell r="M22">
            <v>0</v>
          </cell>
          <cell r="N22">
            <v>0</v>
          </cell>
          <cell r="O22">
            <v>43</v>
          </cell>
          <cell r="P22">
            <v>0</v>
          </cell>
          <cell r="Q22">
            <v>30</v>
          </cell>
        </row>
        <row r="23">
          <cell r="F23" t="str">
            <v>workshop_package_materials</v>
          </cell>
          <cell r="G23">
            <v>26</v>
          </cell>
          <cell r="H23">
            <v>26</v>
          </cell>
          <cell r="I23">
            <v>0</v>
          </cell>
          <cell r="J23">
            <v>0</v>
          </cell>
          <cell r="K23">
            <v>0</v>
          </cell>
          <cell r="L23">
            <v>0</v>
          </cell>
          <cell r="M23">
            <v>0</v>
          </cell>
          <cell r="N23">
            <v>0</v>
          </cell>
          <cell r="O23">
            <v>0</v>
          </cell>
          <cell r="P23">
            <v>0</v>
          </cell>
          <cell r="Q23">
            <v>0</v>
          </cell>
        </row>
        <row r="24">
          <cell r="F24" t="str">
            <v>hotel_workshop_materials</v>
          </cell>
          <cell r="G24">
            <v>63</v>
          </cell>
          <cell r="H24">
            <v>63</v>
          </cell>
          <cell r="I24">
            <v>0</v>
          </cell>
          <cell r="J24">
            <v>0</v>
          </cell>
          <cell r="K24">
            <v>0</v>
          </cell>
          <cell r="L24">
            <v>0</v>
          </cell>
          <cell r="M24">
            <v>0</v>
          </cell>
          <cell r="N24">
            <v>0</v>
          </cell>
          <cell r="O24">
            <v>0</v>
          </cell>
          <cell r="P24">
            <v>0</v>
          </cell>
          <cell r="Q24">
            <v>0</v>
          </cell>
        </row>
        <row r="28">
          <cell r="F28" t="str">
            <v>per_diem_facility</v>
          </cell>
          <cell r="G28">
            <v>27</v>
          </cell>
          <cell r="H28">
            <v>27</v>
          </cell>
          <cell r="I28">
            <v>0</v>
          </cell>
          <cell r="J28">
            <v>0</v>
          </cell>
          <cell r="K28">
            <v>0</v>
          </cell>
          <cell r="L28">
            <v>0</v>
          </cell>
          <cell r="M28">
            <v>0</v>
          </cell>
          <cell r="N28">
            <v>0</v>
          </cell>
          <cell r="O28">
            <v>0</v>
          </cell>
          <cell r="P28">
            <v>0</v>
          </cell>
          <cell r="Q28">
            <v>0</v>
          </cell>
        </row>
        <row r="29">
          <cell r="F29" t="str">
            <v>per_diem_district</v>
          </cell>
          <cell r="G29">
            <v>40</v>
          </cell>
          <cell r="H29">
            <v>45</v>
          </cell>
          <cell r="I29">
            <v>0</v>
          </cell>
          <cell r="J29">
            <v>0</v>
          </cell>
          <cell r="K29">
            <v>0</v>
          </cell>
          <cell r="L29">
            <v>0</v>
          </cell>
          <cell r="M29">
            <v>0</v>
          </cell>
          <cell r="N29">
            <v>35</v>
          </cell>
          <cell r="O29">
            <v>0</v>
          </cell>
          <cell r="P29">
            <v>0</v>
          </cell>
          <cell r="Q29">
            <v>0</v>
          </cell>
        </row>
        <row r="30">
          <cell r="F30" t="str">
            <v>per_diem_regional</v>
          </cell>
          <cell r="G30">
            <v>50.75</v>
          </cell>
          <cell r="H30">
            <v>50</v>
          </cell>
          <cell r="I30">
            <v>0</v>
          </cell>
          <cell r="J30">
            <v>0</v>
          </cell>
          <cell r="K30">
            <v>0</v>
          </cell>
          <cell r="L30">
            <v>0</v>
          </cell>
          <cell r="M30">
            <v>0</v>
          </cell>
          <cell r="N30">
            <v>41</v>
          </cell>
          <cell r="O30">
            <v>52</v>
          </cell>
          <cell r="P30">
            <v>0</v>
          </cell>
          <cell r="Q30">
            <v>60</v>
          </cell>
        </row>
        <row r="31">
          <cell r="F31" t="str">
            <v>per_diem_national</v>
          </cell>
          <cell r="G31">
            <v>50.75</v>
          </cell>
          <cell r="H31">
            <v>50</v>
          </cell>
          <cell r="I31">
            <v>0</v>
          </cell>
          <cell r="J31">
            <v>0</v>
          </cell>
          <cell r="K31">
            <v>0</v>
          </cell>
          <cell r="L31">
            <v>0</v>
          </cell>
          <cell r="M31">
            <v>0</v>
          </cell>
          <cell r="N31">
            <v>41</v>
          </cell>
          <cell r="O31">
            <v>52</v>
          </cell>
          <cell r="P31">
            <v>0</v>
          </cell>
          <cell r="Q31">
            <v>60</v>
          </cell>
        </row>
        <row r="32">
          <cell r="F32" t="str">
            <v>per_diem_MoH_other</v>
          </cell>
          <cell r="G32">
            <v>19</v>
          </cell>
          <cell r="H32">
            <v>19</v>
          </cell>
          <cell r="I32">
            <v>0</v>
          </cell>
          <cell r="J32">
            <v>0</v>
          </cell>
          <cell r="K32">
            <v>0</v>
          </cell>
          <cell r="L32">
            <v>0</v>
          </cell>
          <cell r="M32">
            <v>0</v>
          </cell>
          <cell r="N32">
            <v>0</v>
          </cell>
          <cell r="O32">
            <v>0</v>
          </cell>
          <cell r="P32">
            <v>19</v>
          </cell>
          <cell r="Q32">
            <v>0</v>
          </cell>
        </row>
        <row r="33">
          <cell r="G33">
            <v>0</v>
          </cell>
          <cell r="H33">
            <v>0</v>
          </cell>
          <cell r="I33">
            <v>0</v>
          </cell>
          <cell r="J33">
            <v>0</v>
          </cell>
          <cell r="K33">
            <v>0</v>
          </cell>
          <cell r="L33">
            <v>0</v>
          </cell>
          <cell r="M33">
            <v>0</v>
          </cell>
          <cell r="N33">
            <v>0</v>
          </cell>
          <cell r="O33">
            <v>0</v>
          </cell>
          <cell r="P33">
            <v>0</v>
          </cell>
          <cell r="Q33">
            <v>0</v>
          </cell>
        </row>
        <row r="34">
          <cell r="F34" t="str">
            <v>transport_mentorship_regional</v>
          </cell>
          <cell r="G34">
            <v>49.75</v>
          </cell>
          <cell r="H34">
            <v>90</v>
          </cell>
          <cell r="I34">
            <v>0</v>
          </cell>
          <cell r="J34">
            <v>0</v>
          </cell>
          <cell r="K34">
            <v>0</v>
          </cell>
          <cell r="L34">
            <v>0</v>
          </cell>
          <cell r="M34">
            <v>0</v>
          </cell>
          <cell r="N34">
            <v>0</v>
          </cell>
          <cell r="O34">
            <v>15</v>
          </cell>
          <cell r="P34">
            <v>54</v>
          </cell>
          <cell r="Q34">
            <v>40</v>
          </cell>
        </row>
        <row r="35">
          <cell r="F35" t="str">
            <v>transport_mentorship_district</v>
          </cell>
          <cell r="G35">
            <v>32.5</v>
          </cell>
          <cell r="H35">
            <v>21</v>
          </cell>
          <cell r="I35">
            <v>0</v>
          </cell>
          <cell r="J35">
            <v>0</v>
          </cell>
          <cell r="K35">
            <v>0</v>
          </cell>
          <cell r="L35">
            <v>0</v>
          </cell>
          <cell r="M35">
            <v>0</v>
          </cell>
          <cell r="N35">
            <v>0</v>
          </cell>
          <cell r="O35">
            <v>15</v>
          </cell>
          <cell r="P35">
            <v>54</v>
          </cell>
          <cell r="Q35">
            <v>40</v>
          </cell>
        </row>
        <row r="36">
          <cell r="F36" t="str">
            <v>transport_mentorship_facility</v>
          </cell>
          <cell r="G36">
            <v>32.5</v>
          </cell>
          <cell r="H36">
            <v>21</v>
          </cell>
          <cell r="I36">
            <v>0</v>
          </cell>
          <cell r="J36">
            <v>0</v>
          </cell>
          <cell r="K36">
            <v>0</v>
          </cell>
          <cell r="L36">
            <v>0</v>
          </cell>
          <cell r="M36">
            <v>0</v>
          </cell>
          <cell r="N36">
            <v>0</v>
          </cell>
          <cell r="O36">
            <v>15</v>
          </cell>
          <cell r="P36">
            <v>54</v>
          </cell>
          <cell r="Q36">
            <v>40</v>
          </cell>
        </row>
        <row r="37">
          <cell r="F37" t="str">
            <v>airfare_mentorship</v>
          </cell>
          <cell r="G37">
            <v>393.33333333333331</v>
          </cell>
          <cell r="H37">
            <v>0</v>
          </cell>
          <cell r="I37">
            <v>0</v>
          </cell>
          <cell r="J37">
            <v>600</v>
          </cell>
          <cell r="K37">
            <v>0</v>
          </cell>
          <cell r="L37">
            <v>320</v>
          </cell>
          <cell r="M37">
            <v>0</v>
          </cell>
          <cell r="N37">
            <v>0</v>
          </cell>
          <cell r="O37">
            <v>260</v>
          </cell>
          <cell r="P37">
            <v>0</v>
          </cell>
          <cell r="Q37">
            <v>0</v>
          </cell>
        </row>
        <row r="38">
          <cell r="F38" t="str">
            <v>room_rental_mentorship</v>
          </cell>
          <cell r="G38">
            <v>130</v>
          </cell>
          <cell r="H38">
            <v>0</v>
          </cell>
          <cell r="I38">
            <v>0</v>
          </cell>
          <cell r="J38">
            <v>0</v>
          </cell>
          <cell r="K38">
            <v>0</v>
          </cell>
          <cell r="L38">
            <v>0</v>
          </cell>
          <cell r="M38">
            <v>0</v>
          </cell>
          <cell r="N38">
            <v>0</v>
          </cell>
          <cell r="O38">
            <v>130</v>
          </cell>
          <cell r="P38">
            <v>0</v>
          </cell>
          <cell r="Q38">
            <v>0</v>
          </cell>
        </row>
        <row r="39">
          <cell r="F39" t="str">
            <v>hotel_mentorship</v>
          </cell>
          <cell r="G39">
            <v>64</v>
          </cell>
          <cell r="H39">
            <v>63</v>
          </cell>
          <cell r="I39">
            <v>0</v>
          </cell>
          <cell r="J39">
            <v>120</v>
          </cell>
          <cell r="K39">
            <v>0</v>
          </cell>
          <cell r="L39">
            <v>0</v>
          </cell>
          <cell r="M39">
            <v>0</v>
          </cell>
          <cell r="N39">
            <v>0</v>
          </cell>
          <cell r="O39">
            <v>43</v>
          </cell>
          <cell r="P39">
            <v>0</v>
          </cell>
          <cell r="Q39">
            <v>30</v>
          </cell>
        </row>
        <row r="40">
          <cell r="F40" t="str">
            <v>refreshments_mentorship</v>
          </cell>
          <cell r="G40">
            <v>3.65</v>
          </cell>
          <cell r="H40">
            <v>0</v>
          </cell>
          <cell r="I40">
            <v>0</v>
          </cell>
          <cell r="J40">
            <v>0</v>
          </cell>
          <cell r="K40">
            <v>0</v>
          </cell>
          <cell r="L40">
            <v>0</v>
          </cell>
          <cell r="M40">
            <v>0</v>
          </cell>
          <cell r="N40">
            <v>6</v>
          </cell>
          <cell r="O40">
            <v>0</v>
          </cell>
          <cell r="P40">
            <v>1.3</v>
          </cell>
          <cell r="Q40">
            <v>0</v>
          </cell>
        </row>
        <row r="41">
          <cell r="F41" t="str">
            <v>supervision_fees</v>
          </cell>
          <cell r="G41">
            <v>41.722410865874366</v>
          </cell>
          <cell r="H41">
            <v>42.444821731748725</v>
          </cell>
          <cell r="I41">
            <v>0</v>
          </cell>
          <cell r="J41">
            <v>0</v>
          </cell>
          <cell r="K41">
            <v>0</v>
          </cell>
          <cell r="L41">
            <v>0</v>
          </cell>
          <cell r="M41">
            <v>0</v>
          </cell>
          <cell r="N41">
            <v>41</v>
          </cell>
          <cell r="O41">
            <v>0</v>
          </cell>
          <cell r="P41">
            <v>0</v>
          </cell>
          <cell r="Q41">
            <v>0</v>
          </cell>
        </row>
        <row r="42">
          <cell r="F42" t="str">
            <v>m&amp;e_fees</v>
          </cell>
          <cell r="G42">
            <v>59.422750424448218</v>
          </cell>
          <cell r="H42">
            <v>59.422750424448218</v>
          </cell>
          <cell r="I42">
            <v>0</v>
          </cell>
          <cell r="J42">
            <v>0</v>
          </cell>
          <cell r="K42">
            <v>0</v>
          </cell>
          <cell r="L42">
            <v>0</v>
          </cell>
          <cell r="M42">
            <v>0</v>
          </cell>
          <cell r="N42">
            <v>0</v>
          </cell>
          <cell r="O42">
            <v>0</v>
          </cell>
          <cell r="P42">
            <v>0</v>
          </cell>
          <cell r="Q42">
            <v>0</v>
          </cell>
        </row>
        <row r="43">
          <cell r="F43" t="str">
            <v>per_diem_MoH_staff_ms_v</v>
          </cell>
          <cell r="G43">
            <v>98.972835314091682</v>
          </cell>
          <cell r="H43">
            <v>137.94567062818336</v>
          </cell>
          <cell r="I43">
            <v>0</v>
          </cell>
          <cell r="J43">
            <v>0</v>
          </cell>
          <cell r="K43">
            <v>0</v>
          </cell>
          <cell r="L43">
            <v>0</v>
          </cell>
          <cell r="M43">
            <v>0</v>
          </cell>
          <cell r="N43">
            <v>0</v>
          </cell>
          <cell r="O43">
            <v>0</v>
          </cell>
          <cell r="P43">
            <v>0</v>
          </cell>
          <cell r="Q43">
            <v>60</v>
          </cell>
        </row>
        <row r="44">
          <cell r="F44" t="str">
            <v>lunch_mentorship</v>
          </cell>
          <cell r="G44">
            <v>7.4525745257452574</v>
          </cell>
          <cell r="H44">
            <v>0</v>
          </cell>
          <cell r="I44">
            <v>0</v>
          </cell>
          <cell r="J44">
            <v>0</v>
          </cell>
          <cell r="K44">
            <v>0</v>
          </cell>
          <cell r="L44">
            <v>0</v>
          </cell>
          <cell r="M44">
            <v>0</v>
          </cell>
          <cell r="N44">
            <v>7.4525745257452574</v>
          </cell>
          <cell r="O44">
            <v>0</v>
          </cell>
          <cell r="P44">
            <v>0</v>
          </cell>
          <cell r="Q44">
            <v>0</v>
          </cell>
        </row>
        <row r="45">
          <cell r="F45" t="str">
            <v>stationary_mentorship</v>
          </cell>
          <cell r="G45">
            <v>0</v>
          </cell>
          <cell r="H45">
            <v>0</v>
          </cell>
          <cell r="I45">
            <v>0</v>
          </cell>
          <cell r="J45">
            <v>0</v>
          </cell>
          <cell r="K45">
            <v>0</v>
          </cell>
          <cell r="L45">
            <v>0</v>
          </cell>
          <cell r="M45">
            <v>0</v>
          </cell>
          <cell r="N45">
            <v>0</v>
          </cell>
          <cell r="O45">
            <v>0</v>
          </cell>
          <cell r="P45">
            <v>0</v>
          </cell>
          <cell r="Q45">
            <v>0</v>
          </cell>
        </row>
        <row r="46">
          <cell r="F46" t="str">
            <v>airtime_mentorship</v>
          </cell>
          <cell r="G46">
            <v>0</v>
          </cell>
          <cell r="H46">
            <v>0</v>
          </cell>
          <cell r="I46">
            <v>0</v>
          </cell>
          <cell r="J46">
            <v>0</v>
          </cell>
          <cell r="K46">
            <v>0</v>
          </cell>
          <cell r="L46">
            <v>0</v>
          </cell>
          <cell r="M46">
            <v>0</v>
          </cell>
          <cell r="N46">
            <v>0</v>
          </cell>
          <cell r="O46">
            <v>0</v>
          </cell>
          <cell r="P46">
            <v>0</v>
          </cell>
          <cell r="Q46">
            <v>0</v>
          </cell>
        </row>
        <row r="49">
          <cell r="F49" t="str">
            <v>per_diem_participants_central_ToT</v>
          </cell>
          <cell r="G49">
            <v>42.2</v>
          </cell>
          <cell r="H49">
            <v>44</v>
          </cell>
          <cell r="I49">
            <v>0</v>
          </cell>
          <cell r="J49">
            <v>0</v>
          </cell>
          <cell r="K49">
            <v>0</v>
          </cell>
          <cell r="L49">
            <v>0</v>
          </cell>
          <cell r="M49">
            <v>0</v>
          </cell>
          <cell r="N49">
            <v>52</v>
          </cell>
          <cell r="O49">
            <v>52</v>
          </cell>
          <cell r="P49">
            <v>43</v>
          </cell>
          <cell r="Q49">
            <v>20</v>
          </cell>
        </row>
        <row r="50">
          <cell r="F50" t="str">
            <v>per_diem_facilitators_central_ToT</v>
          </cell>
          <cell r="G50">
            <v>54.5</v>
          </cell>
          <cell r="H50">
            <v>71</v>
          </cell>
          <cell r="I50">
            <v>0</v>
          </cell>
          <cell r="J50">
            <v>0</v>
          </cell>
          <cell r="K50">
            <v>0</v>
          </cell>
          <cell r="L50">
            <v>0</v>
          </cell>
          <cell r="M50">
            <v>0</v>
          </cell>
          <cell r="N50">
            <v>52</v>
          </cell>
          <cell r="O50">
            <v>52</v>
          </cell>
          <cell r="P50">
            <v>43</v>
          </cell>
          <cell r="Q50">
            <v>0</v>
          </cell>
        </row>
        <row r="51">
          <cell r="F51" t="str">
            <v>facilitation_fee_central_ToT</v>
          </cell>
          <cell r="G51">
            <v>67.911714770797957</v>
          </cell>
          <cell r="H51">
            <v>67.911714770797957</v>
          </cell>
          <cell r="I51">
            <v>0</v>
          </cell>
          <cell r="J51">
            <v>0</v>
          </cell>
          <cell r="K51">
            <v>0</v>
          </cell>
          <cell r="L51">
            <v>0</v>
          </cell>
          <cell r="M51">
            <v>0</v>
          </cell>
          <cell r="N51">
            <v>0</v>
          </cell>
          <cell r="O51">
            <v>0</v>
          </cell>
          <cell r="P51">
            <v>0</v>
          </cell>
          <cell r="Q51">
            <v>0</v>
          </cell>
        </row>
        <row r="52">
          <cell r="F52" t="str">
            <v>per_diem_int_facilitator_central_ToT</v>
          </cell>
          <cell r="G52">
            <v>50</v>
          </cell>
          <cell r="H52">
            <v>50</v>
          </cell>
          <cell r="I52">
            <v>0</v>
          </cell>
          <cell r="J52">
            <v>0</v>
          </cell>
          <cell r="K52">
            <v>0</v>
          </cell>
          <cell r="L52">
            <v>0</v>
          </cell>
          <cell r="M52">
            <v>0</v>
          </cell>
          <cell r="N52">
            <v>0</v>
          </cell>
          <cell r="O52">
            <v>0</v>
          </cell>
          <cell r="P52">
            <v>0</v>
          </cell>
          <cell r="Q52">
            <v>0</v>
          </cell>
        </row>
        <row r="54">
          <cell r="F54" t="str">
            <v>transport_participant_central_ToT</v>
          </cell>
          <cell r="G54">
            <v>18.738964346349746</v>
          </cell>
          <cell r="H54">
            <v>33.955857385398978</v>
          </cell>
          <cell r="I54">
            <v>0</v>
          </cell>
          <cell r="J54">
            <v>0</v>
          </cell>
          <cell r="K54">
            <v>0</v>
          </cell>
          <cell r="L54">
            <v>0</v>
          </cell>
          <cell r="M54">
            <v>0</v>
          </cell>
          <cell r="N54">
            <v>15</v>
          </cell>
          <cell r="O54">
            <v>15</v>
          </cell>
          <cell r="P54">
            <v>11</v>
          </cell>
          <cell r="Q54">
            <v>0</v>
          </cell>
        </row>
        <row r="55">
          <cell r="F55" t="str">
            <v>transport_facilitator_central_ToT</v>
          </cell>
          <cell r="G55">
            <v>145.67798528579513</v>
          </cell>
          <cell r="H55">
            <v>70.033955857385394</v>
          </cell>
          <cell r="I55">
            <v>0</v>
          </cell>
          <cell r="J55">
            <v>0</v>
          </cell>
          <cell r="K55">
            <v>0</v>
          </cell>
          <cell r="L55">
            <v>0</v>
          </cell>
          <cell r="M55">
            <v>0</v>
          </cell>
          <cell r="N55">
            <v>0</v>
          </cell>
          <cell r="O55">
            <v>260</v>
          </cell>
          <cell r="P55">
            <v>107</v>
          </cell>
          <cell r="Q55">
            <v>0</v>
          </cell>
        </row>
        <row r="56">
          <cell r="F56" t="str">
            <v>international_travel_central_ToT</v>
          </cell>
          <cell r="G56">
            <v>2500</v>
          </cell>
          <cell r="H56">
            <v>2500</v>
          </cell>
          <cell r="I56">
            <v>0</v>
          </cell>
          <cell r="J56">
            <v>0</v>
          </cell>
          <cell r="K56">
            <v>0</v>
          </cell>
          <cell r="L56">
            <v>0</v>
          </cell>
          <cell r="M56">
            <v>0</v>
          </cell>
          <cell r="N56">
            <v>0</v>
          </cell>
          <cell r="O56">
            <v>0</v>
          </cell>
          <cell r="P56">
            <v>0</v>
          </cell>
          <cell r="Q56">
            <v>0</v>
          </cell>
        </row>
        <row r="58">
          <cell r="F58" t="str">
            <v>room_rental_central_ToT</v>
          </cell>
          <cell r="G58">
            <v>89.2</v>
          </cell>
          <cell r="H58">
            <v>53</v>
          </cell>
          <cell r="I58">
            <v>0</v>
          </cell>
          <cell r="J58">
            <v>0</v>
          </cell>
          <cell r="K58">
            <v>0</v>
          </cell>
          <cell r="L58">
            <v>0</v>
          </cell>
          <cell r="M58">
            <v>0</v>
          </cell>
          <cell r="N58">
            <v>130</v>
          </cell>
          <cell r="O58">
            <v>130</v>
          </cell>
          <cell r="P58">
            <v>53</v>
          </cell>
          <cell r="Q58">
            <v>80</v>
          </cell>
        </row>
        <row r="59">
          <cell r="F59" t="str">
            <v>hotel_cost_central_ToT</v>
          </cell>
          <cell r="G59">
            <v>60.326375212224107</v>
          </cell>
          <cell r="H59">
            <v>59.422750424448218</v>
          </cell>
          <cell r="I59">
            <v>0</v>
          </cell>
          <cell r="J59">
            <v>0</v>
          </cell>
          <cell r="K59">
            <v>0</v>
          </cell>
          <cell r="L59">
            <v>0</v>
          </cell>
          <cell r="M59">
            <v>0</v>
          </cell>
          <cell r="N59">
            <v>61.23</v>
          </cell>
          <cell r="O59">
            <v>0</v>
          </cell>
          <cell r="P59">
            <v>0</v>
          </cell>
          <cell r="Q59">
            <v>0</v>
          </cell>
        </row>
        <row r="60">
          <cell r="F60" t="str">
            <v>snacks_central_ToT</v>
          </cell>
          <cell r="G60">
            <v>7.5466893039049241</v>
          </cell>
          <cell r="H60">
            <v>12.733446519524618</v>
          </cell>
          <cell r="I60">
            <v>0</v>
          </cell>
          <cell r="J60">
            <v>0</v>
          </cell>
          <cell r="K60">
            <v>0</v>
          </cell>
          <cell r="L60">
            <v>0</v>
          </cell>
          <cell r="M60">
            <v>6</v>
          </cell>
          <cell r="N60">
            <v>6</v>
          </cell>
          <cell r="O60">
            <v>6</v>
          </cell>
          <cell r="P60">
            <v>7</v>
          </cell>
          <cell r="Q60">
            <v>0</v>
          </cell>
        </row>
        <row r="61">
          <cell r="F61" t="str">
            <v>stationary_central_ToT</v>
          </cell>
          <cell r="G61">
            <v>0</v>
          </cell>
          <cell r="H61">
            <v>0</v>
          </cell>
          <cell r="I61">
            <v>0</v>
          </cell>
          <cell r="J61">
            <v>0</v>
          </cell>
          <cell r="K61">
            <v>0</v>
          </cell>
          <cell r="L61">
            <v>0</v>
          </cell>
          <cell r="M61">
            <v>0</v>
          </cell>
          <cell r="N61">
            <v>0</v>
          </cell>
          <cell r="O61">
            <v>0</v>
          </cell>
          <cell r="P61">
            <v>0</v>
          </cell>
          <cell r="Q61">
            <v>0</v>
          </cell>
        </row>
        <row r="62">
          <cell r="F62" t="str">
            <v>workshop_package_central_ToT</v>
          </cell>
          <cell r="G62">
            <v>23.47</v>
          </cell>
          <cell r="H62">
            <v>26</v>
          </cell>
          <cell r="I62">
            <v>0</v>
          </cell>
          <cell r="J62">
            <v>0</v>
          </cell>
          <cell r="K62">
            <v>0</v>
          </cell>
          <cell r="L62">
            <v>0</v>
          </cell>
          <cell r="M62">
            <v>18.989999999999998</v>
          </cell>
          <cell r="N62">
            <v>18.89</v>
          </cell>
          <cell r="O62">
            <v>0</v>
          </cell>
          <cell r="P62">
            <v>0</v>
          </cell>
          <cell r="Q62">
            <v>30</v>
          </cell>
        </row>
        <row r="63">
          <cell r="F63" t="str">
            <v>training_material_central_ToT</v>
          </cell>
          <cell r="G63">
            <v>23.47</v>
          </cell>
          <cell r="H63">
            <v>26</v>
          </cell>
          <cell r="I63">
            <v>0</v>
          </cell>
          <cell r="J63">
            <v>0</v>
          </cell>
          <cell r="K63">
            <v>0</v>
          </cell>
          <cell r="L63">
            <v>0</v>
          </cell>
          <cell r="M63">
            <v>18.89</v>
          </cell>
          <cell r="N63">
            <v>18.989999999999998</v>
          </cell>
          <cell r="O63">
            <v>0</v>
          </cell>
          <cell r="P63">
            <v>0</v>
          </cell>
          <cell r="Q63">
            <v>30</v>
          </cell>
        </row>
        <row r="68">
          <cell r="F68" t="str">
            <v>per_diem_facilitators_regional_ToT</v>
          </cell>
          <cell r="G68">
            <v>40.4</v>
          </cell>
          <cell r="H68">
            <v>43</v>
          </cell>
          <cell r="I68">
            <v>0</v>
          </cell>
          <cell r="J68">
            <v>0</v>
          </cell>
          <cell r="K68">
            <v>0</v>
          </cell>
          <cell r="L68">
            <v>0</v>
          </cell>
          <cell r="M68">
            <v>23.6</v>
          </cell>
          <cell r="N68">
            <v>0</v>
          </cell>
          <cell r="O68">
            <v>52</v>
          </cell>
          <cell r="P68">
            <v>43</v>
          </cell>
          <cell r="Q68">
            <v>0</v>
          </cell>
        </row>
        <row r="69">
          <cell r="F69" t="str">
            <v>per_diem_participants_regional_ToT</v>
          </cell>
          <cell r="G69">
            <v>40.4</v>
          </cell>
          <cell r="H69">
            <v>43</v>
          </cell>
          <cell r="I69">
            <v>0</v>
          </cell>
          <cell r="J69">
            <v>0</v>
          </cell>
          <cell r="K69">
            <v>0</v>
          </cell>
          <cell r="L69">
            <v>0</v>
          </cell>
          <cell r="M69">
            <v>23.6</v>
          </cell>
          <cell r="N69">
            <v>0</v>
          </cell>
          <cell r="O69">
            <v>52</v>
          </cell>
          <cell r="P69">
            <v>43</v>
          </cell>
          <cell r="Q69">
            <v>0</v>
          </cell>
        </row>
        <row r="71">
          <cell r="F71" t="str">
            <v>transport_facilitator_regional_ToT</v>
          </cell>
          <cell r="G71">
            <v>158</v>
          </cell>
          <cell r="H71">
            <v>107</v>
          </cell>
          <cell r="I71">
            <v>0</v>
          </cell>
          <cell r="J71">
            <v>0</v>
          </cell>
          <cell r="K71">
            <v>0</v>
          </cell>
          <cell r="L71">
            <v>0</v>
          </cell>
          <cell r="M71">
            <v>0</v>
          </cell>
          <cell r="N71">
            <v>0</v>
          </cell>
          <cell r="O71">
            <v>130</v>
          </cell>
          <cell r="P71">
            <v>107</v>
          </cell>
          <cell r="Q71">
            <v>0</v>
          </cell>
        </row>
        <row r="72">
          <cell r="F72" t="str">
            <v>transport_participant_regional_ToT</v>
          </cell>
          <cell r="G72">
            <v>12.333333333333334</v>
          </cell>
          <cell r="H72">
            <v>11</v>
          </cell>
          <cell r="I72">
            <v>0</v>
          </cell>
          <cell r="J72">
            <v>0</v>
          </cell>
          <cell r="K72">
            <v>0</v>
          </cell>
          <cell r="L72">
            <v>0</v>
          </cell>
          <cell r="M72">
            <v>0</v>
          </cell>
          <cell r="N72">
            <v>0</v>
          </cell>
          <cell r="O72">
            <v>0</v>
          </cell>
          <cell r="P72">
            <v>11</v>
          </cell>
          <cell r="Q72">
            <v>0</v>
          </cell>
        </row>
        <row r="74">
          <cell r="F74" t="str">
            <v>room_rental_regional_ToT</v>
          </cell>
          <cell r="G74">
            <v>87.75</v>
          </cell>
          <cell r="H74">
            <v>53</v>
          </cell>
          <cell r="I74">
            <v>0</v>
          </cell>
          <cell r="J74">
            <v>0</v>
          </cell>
          <cell r="K74">
            <v>0</v>
          </cell>
          <cell r="L74">
            <v>0</v>
          </cell>
          <cell r="M74">
            <v>115</v>
          </cell>
          <cell r="N74">
            <v>0</v>
          </cell>
          <cell r="O74">
            <v>130</v>
          </cell>
          <cell r="P74">
            <v>53</v>
          </cell>
          <cell r="Q74">
            <v>0</v>
          </cell>
        </row>
        <row r="75">
          <cell r="F75" t="str">
            <v>hotel_cost_regional_ToT</v>
          </cell>
          <cell r="G75">
            <v>33.524999999999999</v>
          </cell>
          <cell r="H75">
            <v>0</v>
          </cell>
          <cell r="I75">
            <v>0</v>
          </cell>
          <cell r="J75">
            <v>0</v>
          </cell>
          <cell r="K75">
            <v>0</v>
          </cell>
          <cell r="L75">
            <v>0</v>
          </cell>
          <cell r="M75">
            <v>67.05</v>
          </cell>
          <cell r="N75">
            <v>0</v>
          </cell>
          <cell r="O75">
            <v>0</v>
          </cell>
          <cell r="P75">
            <v>0</v>
          </cell>
          <cell r="Q75">
            <v>0</v>
          </cell>
        </row>
        <row r="76">
          <cell r="F76" t="str">
            <v>lunch_regional_ToT</v>
          </cell>
          <cell r="G76">
            <v>6.666666666666667</v>
          </cell>
          <cell r="H76">
            <v>7</v>
          </cell>
          <cell r="I76">
            <v>0</v>
          </cell>
          <cell r="J76">
            <v>0</v>
          </cell>
          <cell r="K76">
            <v>0</v>
          </cell>
          <cell r="L76">
            <v>0</v>
          </cell>
          <cell r="M76">
            <v>0</v>
          </cell>
          <cell r="N76">
            <v>0</v>
          </cell>
          <cell r="O76">
            <v>6</v>
          </cell>
          <cell r="P76">
            <v>7</v>
          </cell>
          <cell r="Q76">
            <v>0</v>
          </cell>
        </row>
        <row r="77">
          <cell r="F77" t="str">
            <v>stationary_regional_ToT</v>
          </cell>
          <cell r="G77">
            <v>0</v>
          </cell>
          <cell r="H77">
            <v>0</v>
          </cell>
          <cell r="I77">
            <v>0</v>
          </cell>
          <cell r="J77">
            <v>0</v>
          </cell>
          <cell r="K77">
            <v>0</v>
          </cell>
          <cell r="L77">
            <v>0</v>
          </cell>
          <cell r="M77">
            <v>0</v>
          </cell>
          <cell r="N77">
            <v>0</v>
          </cell>
          <cell r="O77">
            <v>0</v>
          </cell>
          <cell r="P77">
            <v>0</v>
          </cell>
          <cell r="Q77">
            <v>0</v>
          </cell>
        </row>
        <row r="78">
          <cell r="F78" t="str">
            <v>workshop_package-regional_ToT</v>
          </cell>
          <cell r="G78">
            <v>10.345000000000001</v>
          </cell>
          <cell r="H78">
            <v>0</v>
          </cell>
          <cell r="I78">
            <v>0</v>
          </cell>
          <cell r="J78">
            <v>0</v>
          </cell>
          <cell r="K78">
            <v>0</v>
          </cell>
          <cell r="L78">
            <v>0</v>
          </cell>
          <cell r="M78">
            <v>20.69</v>
          </cell>
          <cell r="N78">
            <v>0</v>
          </cell>
          <cell r="O78">
            <v>0</v>
          </cell>
          <cell r="P78">
            <v>0</v>
          </cell>
          <cell r="Q78">
            <v>0</v>
          </cell>
        </row>
        <row r="82">
          <cell r="F82" t="str">
            <v>per_diem_facility_staff_onsite_training</v>
          </cell>
          <cell r="G82">
            <v>11</v>
          </cell>
          <cell r="H82">
            <v>5</v>
          </cell>
          <cell r="I82">
            <v>0</v>
          </cell>
          <cell r="J82">
            <v>0</v>
          </cell>
          <cell r="K82">
            <v>0</v>
          </cell>
          <cell r="L82">
            <v>0</v>
          </cell>
          <cell r="M82">
            <v>0</v>
          </cell>
          <cell r="N82">
            <v>0</v>
          </cell>
          <cell r="O82">
            <v>7</v>
          </cell>
          <cell r="P82">
            <v>21</v>
          </cell>
          <cell r="Q82">
            <v>0</v>
          </cell>
        </row>
        <row r="83">
          <cell r="F83" t="str">
            <v>per_diem_MoH_trainers_onsite_training</v>
          </cell>
          <cell r="G83">
            <v>47.5</v>
          </cell>
          <cell r="H83">
            <v>0</v>
          </cell>
          <cell r="I83">
            <v>0</v>
          </cell>
          <cell r="J83">
            <v>0</v>
          </cell>
          <cell r="K83">
            <v>0</v>
          </cell>
          <cell r="L83">
            <v>0</v>
          </cell>
          <cell r="M83">
            <v>0</v>
          </cell>
          <cell r="N83">
            <v>0</v>
          </cell>
          <cell r="O83">
            <v>52</v>
          </cell>
          <cell r="P83">
            <v>43</v>
          </cell>
          <cell r="Q83">
            <v>0</v>
          </cell>
        </row>
        <row r="85">
          <cell r="F85" t="str">
            <v>transport_facility_staff_onsite_training</v>
          </cell>
          <cell r="G85">
            <v>11.333333333333334</v>
          </cell>
          <cell r="H85">
            <v>8</v>
          </cell>
          <cell r="I85">
            <v>0</v>
          </cell>
          <cell r="J85">
            <v>0</v>
          </cell>
          <cell r="K85">
            <v>0</v>
          </cell>
          <cell r="L85">
            <v>0</v>
          </cell>
          <cell r="M85">
            <v>0</v>
          </cell>
          <cell r="N85">
            <v>0</v>
          </cell>
          <cell r="O85">
            <v>15</v>
          </cell>
          <cell r="P85">
            <v>11</v>
          </cell>
          <cell r="Q85">
            <v>0</v>
          </cell>
        </row>
        <row r="86">
          <cell r="F86" t="str">
            <v>transport_MoH_trainers_onsite_training</v>
          </cell>
          <cell r="G86">
            <v>54</v>
          </cell>
          <cell r="H86">
            <v>0</v>
          </cell>
          <cell r="I86">
            <v>0</v>
          </cell>
          <cell r="J86">
            <v>0</v>
          </cell>
          <cell r="K86">
            <v>0</v>
          </cell>
          <cell r="L86">
            <v>0</v>
          </cell>
          <cell r="M86">
            <v>0</v>
          </cell>
          <cell r="N86">
            <v>0</v>
          </cell>
          <cell r="O86">
            <v>0</v>
          </cell>
          <cell r="P86">
            <v>54</v>
          </cell>
          <cell r="Q86">
            <v>0</v>
          </cell>
        </row>
        <row r="87">
          <cell r="F87" t="str">
            <v>airfare_MoH_trainers_onsite_training</v>
          </cell>
          <cell r="G87">
            <v>260</v>
          </cell>
          <cell r="H87">
            <v>0</v>
          </cell>
          <cell r="I87">
            <v>0</v>
          </cell>
          <cell r="J87">
            <v>0</v>
          </cell>
          <cell r="K87">
            <v>0</v>
          </cell>
          <cell r="L87">
            <v>0</v>
          </cell>
          <cell r="M87">
            <v>0</v>
          </cell>
          <cell r="N87">
            <v>0</v>
          </cell>
          <cell r="O87">
            <v>260</v>
          </cell>
          <cell r="P87">
            <v>0</v>
          </cell>
          <cell r="Q87">
            <v>0</v>
          </cell>
        </row>
        <row r="89">
          <cell r="F89" t="str">
            <v>room_rental_onsite_training</v>
          </cell>
          <cell r="G89">
            <v>26.5</v>
          </cell>
          <cell r="H89">
            <v>0</v>
          </cell>
          <cell r="I89">
            <v>0</v>
          </cell>
          <cell r="J89">
            <v>0</v>
          </cell>
          <cell r="K89">
            <v>0</v>
          </cell>
          <cell r="L89">
            <v>0</v>
          </cell>
          <cell r="M89">
            <v>0</v>
          </cell>
          <cell r="N89">
            <v>0</v>
          </cell>
          <cell r="O89">
            <v>0</v>
          </cell>
          <cell r="P89">
            <v>53</v>
          </cell>
          <cell r="Q89">
            <v>0</v>
          </cell>
        </row>
        <row r="90">
          <cell r="F90" t="str">
            <v>snacks_onsite_training</v>
          </cell>
          <cell r="G90">
            <v>3.2000000000000006</v>
          </cell>
          <cell r="H90">
            <v>1.3</v>
          </cell>
          <cell r="I90">
            <v>0</v>
          </cell>
          <cell r="J90">
            <v>0</v>
          </cell>
          <cell r="K90">
            <v>0</v>
          </cell>
          <cell r="L90">
            <v>0</v>
          </cell>
          <cell r="M90">
            <v>0</v>
          </cell>
          <cell r="N90">
            <v>0</v>
          </cell>
          <cell r="O90">
            <v>7</v>
          </cell>
          <cell r="P90">
            <v>1.3</v>
          </cell>
          <cell r="Q90">
            <v>0</v>
          </cell>
        </row>
        <row r="91">
          <cell r="F91" t="str">
            <v>stationary_onsite_training</v>
          </cell>
          <cell r="G91">
            <v>0</v>
          </cell>
          <cell r="H91">
            <v>0</v>
          </cell>
          <cell r="I91">
            <v>0</v>
          </cell>
          <cell r="J91">
            <v>0</v>
          </cell>
          <cell r="K91">
            <v>0</v>
          </cell>
          <cell r="L91">
            <v>0</v>
          </cell>
          <cell r="M91">
            <v>0</v>
          </cell>
          <cell r="N91">
            <v>0</v>
          </cell>
          <cell r="O91">
            <v>0</v>
          </cell>
          <cell r="P91">
            <v>0</v>
          </cell>
          <cell r="Q91">
            <v>0</v>
          </cell>
        </row>
        <row r="92">
          <cell r="F92" t="str">
            <v>workshop_package_onsite_training</v>
          </cell>
          <cell r="G92">
            <v>10.345000000000001</v>
          </cell>
          <cell r="H92">
            <v>0</v>
          </cell>
          <cell r="I92">
            <v>0</v>
          </cell>
          <cell r="J92">
            <v>0</v>
          </cell>
          <cell r="K92">
            <v>0</v>
          </cell>
          <cell r="L92">
            <v>0</v>
          </cell>
          <cell r="M92">
            <v>20.69</v>
          </cell>
          <cell r="N92">
            <v>0</v>
          </cell>
          <cell r="O92">
            <v>0</v>
          </cell>
          <cell r="P92">
            <v>0</v>
          </cell>
          <cell r="Q92">
            <v>0</v>
          </cell>
        </row>
        <row r="93">
          <cell r="F93" t="str">
            <v>hotel_cost_onsite_training</v>
          </cell>
          <cell r="G93">
            <v>9.5</v>
          </cell>
          <cell r="H93">
            <v>0</v>
          </cell>
          <cell r="I93">
            <v>0</v>
          </cell>
          <cell r="J93">
            <v>0</v>
          </cell>
          <cell r="K93">
            <v>0</v>
          </cell>
          <cell r="L93">
            <v>0</v>
          </cell>
          <cell r="M93">
            <v>0</v>
          </cell>
          <cell r="N93">
            <v>0</v>
          </cell>
          <cell r="O93">
            <v>0</v>
          </cell>
          <cell r="P93">
            <v>19</v>
          </cell>
          <cell r="Q93">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xe.com/currencytabl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zoomScale="104" workbookViewId="0">
      <selection activeCell="F8" sqref="F8"/>
    </sheetView>
  </sheetViews>
  <sheetFormatPr baseColWidth="10" defaultColWidth="12.5" defaultRowHeight="16"/>
  <cols>
    <col min="1" max="1" width="92.1640625" style="221" customWidth="1"/>
    <col min="2" max="2" width="41.5" style="221" customWidth="1"/>
    <col min="3" max="3" width="22.1640625" style="221" customWidth="1"/>
    <col min="4" max="8" width="12.5" style="221"/>
    <col min="9" max="9" width="12.5" style="221" customWidth="1"/>
    <col min="10" max="16384" width="12.5" style="221"/>
  </cols>
  <sheetData>
    <row r="1" spans="1:9" ht="21">
      <c r="A1" s="250" t="s">
        <v>407</v>
      </c>
      <c r="B1" s="250"/>
      <c r="C1" s="250"/>
      <c r="D1" s="250"/>
      <c r="E1" s="250"/>
      <c r="F1" s="250"/>
      <c r="G1" s="250"/>
      <c r="H1" s="250"/>
    </row>
    <row r="2" spans="1:9">
      <c r="A2" s="222"/>
      <c r="B2" s="223"/>
      <c r="C2" s="223"/>
      <c r="D2" s="223"/>
      <c r="E2" s="223"/>
      <c r="F2" s="223"/>
      <c r="G2" s="223"/>
      <c r="H2" s="223"/>
      <c r="I2" s="224"/>
    </row>
    <row r="3" spans="1:9" ht="16" customHeight="1">
      <c r="A3" s="267" t="s">
        <v>460</v>
      </c>
      <c r="B3" s="225"/>
      <c r="C3" s="225"/>
      <c r="D3" s="225"/>
      <c r="E3" s="225"/>
      <c r="F3" s="225"/>
      <c r="G3" s="225"/>
      <c r="H3" s="225"/>
      <c r="I3" s="225"/>
    </row>
    <row r="4" spans="1:9">
      <c r="A4" s="263" t="s">
        <v>452</v>
      </c>
      <c r="B4" s="226"/>
      <c r="C4" s="226"/>
      <c r="D4" s="226"/>
      <c r="E4" s="226"/>
      <c r="F4" s="226"/>
      <c r="G4" s="226"/>
      <c r="H4" s="226"/>
      <c r="I4" s="227"/>
    </row>
    <row r="5" spans="1:9">
      <c r="A5" s="228"/>
      <c r="B5" s="229"/>
      <c r="C5" s="230"/>
      <c r="D5" s="230"/>
      <c r="E5" s="230"/>
      <c r="F5" s="230"/>
      <c r="G5" s="230"/>
      <c r="H5" s="230"/>
      <c r="I5" s="227"/>
    </row>
    <row r="6" spans="1:9">
      <c r="A6" s="222" t="s">
        <v>408</v>
      </c>
      <c r="B6" s="230"/>
      <c r="C6" s="230"/>
      <c r="D6" s="230"/>
      <c r="E6" s="230"/>
      <c r="F6" s="230"/>
      <c r="G6" s="230"/>
      <c r="H6" s="230"/>
      <c r="I6" s="227"/>
    </row>
    <row r="7" spans="1:9">
      <c r="A7" s="222"/>
      <c r="B7" s="230"/>
      <c r="C7" s="230"/>
      <c r="D7" s="230"/>
      <c r="E7" s="230"/>
      <c r="F7" s="230"/>
      <c r="G7" s="230"/>
      <c r="H7" s="230"/>
      <c r="I7" s="227"/>
    </row>
    <row r="8" spans="1:9">
      <c r="A8" s="264" t="s">
        <v>458</v>
      </c>
      <c r="B8" s="230"/>
      <c r="C8" s="230"/>
      <c r="D8" s="230"/>
      <c r="E8" s="230"/>
      <c r="F8" s="230"/>
      <c r="G8" s="230"/>
      <c r="H8" s="230"/>
      <c r="I8" s="227"/>
    </row>
    <row r="9" spans="1:9">
      <c r="A9" s="264" t="s">
        <v>409</v>
      </c>
      <c r="B9" s="230"/>
      <c r="C9" s="230"/>
      <c r="D9" s="230"/>
      <c r="E9" s="230"/>
      <c r="F9" s="230"/>
      <c r="G9" s="230"/>
      <c r="H9" s="230"/>
      <c r="I9" s="227"/>
    </row>
    <row r="10" spans="1:9">
      <c r="A10" s="265" t="s">
        <v>459</v>
      </c>
      <c r="B10" s="230"/>
      <c r="C10" s="230"/>
      <c r="D10" s="230"/>
      <c r="E10" s="230"/>
      <c r="F10" s="230"/>
      <c r="G10" s="230"/>
      <c r="H10" s="230"/>
      <c r="I10" s="227"/>
    </row>
    <row r="11" spans="1:9">
      <c r="A11" s="222"/>
      <c r="B11" s="230"/>
      <c r="C11" s="230"/>
      <c r="D11" s="230"/>
      <c r="E11" s="230"/>
      <c r="F11" s="230"/>
      <c r="G11" s="230"/>
      <c r="H11" s="230"/>
      <c r="I11" s="227"/>
    </row>
    <row r="12" spans="1:9">
      <c r="A12" s="229" t="s">
        <v>404</v>
      </c>
      <c r="B12" s="230"/>
      <c r="C12" s="230"/>
      <c r="D12" s="230"/>
      <c r="E12" s="230"/>
      <c r="F12" s="230"/>
      <c r="G12" s="230"/>
      <c r="H12" s="230"/>
      <c r="I12" s="227"/>
    </row>
    <row r="13" spans="1:9">
      <c r="A13" s="268" t="s">
        <v>457</v>
      </c>
      <c r="B13" s="230"/>
      <c r="C13" s="230"/>
      <c r="D13" s="230"/>
      <c r="E13" s="230"/>
      <c r="F13" s="230"/>
      <c r="G13" s="230"/>
      <c r="H13" s="230"/>
      <c r="I13" s="227"/>
    </row>
    <row r="14" spans="1:9">
      <c r="A14" s="222"/>
      <c r="B14" s="230"/>
      <c r="C14" s="230"/>
      <c r="D14" s="230"/>
      <c r="E14" s="230"/>
      <c r="F14" s="230"/>
      <c r="G14" s="230"/>
      <c r="H14" s="230"/>
      <c r="I14" s="227"/>
    </row>
    <row r="15" spans="1:9">
      <c r="A15" s="266" t="s">
        <v>455</v>
      </c>
      <c r="B15" s="230"/>
      <c r="C15" s="230"/>
      <c r="D15" s="230"/>
      <c r="E15" s="230"/>
      <c r="F15" s="230"/>
      <c r="G15" s="230"/>
      <c r="H15" s="230"/>
      <c r="I15" s="227"/>
    </row>
    <row r="16" spans="1:9">
      <c r="A16" s="266" t="s">
        <v>454</v>
      </c>
      <c r="B16" s="230"/>
      <c r="C16" s="230"/>
      <c r="D16" s="230"/>
      <c r="E16" s="230"/>
      <c r="F16" s="230"/>
      <c r="G16" s="230"/>
      <c r="H16" s="230"/>
      <c r="I16" s="227"/>
    </row>
    <row r="17" spans="1:9">
      <c r="A17" s="266" t="s">
        <v>456</v>
      </c>
      <c r="B17" s="230"/>
      <c r="C17" s="230"/>
      <c r="D17" s="230"/>
      <c r="E17" s="230"/>
      <c r="F17" s="230"/>
      <c r="G17" s="230"/>
      <c r="H17" s="230"/>
      <c r="I17" s="227"/>
    </row>
    <row r="18" spans="1:9">
      <c r="A18" s="266" t="s">
        <v>453</v>
      </c>
      <c r="B18" s="230"/>
      <c r="C18" s="230"/>
      <c r="D18" s="230"/>
      <c r="E18" s="230"/>
      <c r="F18" s="230"/>
      <c r="G18" s="230"/>
      <c r="H18" s="230"/>
      <c r="I18" s="227"/>
    </row>
    <row r="19" spans="1:9">
      <c r="A19" s="232"/>
      <c r="B19" s="230"/>
      <c r="C19" s="230"/>
      <c r="D19" s="230"/>
      <c r="E19" s="230"/>
      <c r="F19" s="230"/>
      <c r="G19" s="230"/>
      <c r="H19" s="230"/>
      <c r="I19" s="227"/>
    </row>
    <row r="20" spans="1:9">
      <c r="A20" s="222"/>
      <c r="B20" s="230"/>
      <c r="C20" s="230"/>
      <c r="D20" s="230"/>
      <c r="E20" s="230"/>
      <c r="F20" s="230"/>
      <c r="G20" s="230"/>
      <c r="H20" s="230"/>
      <c r="I20" s="227"/>
    </row>
    <row r="21" spans="1:9">
      <c r="A21" s="231"/>
      <c r="B21" s="230"/>
      <c r="C21" s="230"/>
      <c r="D21" s="230"/>
      <c r="E21" s="230"/>
      <c r="F21" s="230"/>
      <c r="G21" s="230"/>
      <c r="H21" s="230"/>
      <c r="I21" s="227"/>
    </row>
    <row r="22" spans="1:9">
      <c r="A22" s="229" t="s">
        <v>405</v>
      </c>
      <c r="B22" s="230"/>
      <c r="C22" s="230"/>
      <c r="D22" s="230"/>
      <c r="E22" s="230"/>
      <c r="F22" s="230"/>
      <c r="G22" s="230"/>
      <c r="H22" s="230"/>
      <c r="I22" s="227"/>
    </row>
    <row r="23" spans="1:9">
      <c r="A23" s="229" t="s">
        <v>406</v>
      </c>
      <c r="B23" s="230"/>
      <c r="C23" s="230"/>
      <c r="D23" s="230"/>
      <c r="E23" s="230"/>
      <c r="F23" s="230"/>
      <c r="G23" s="230"/>
      <c r="H23" s="230"/>
      <c r="I23" s="227"/>
    </row>
    <row r="24" spans="1:9">
      <c r="A24" s="229" t="s">
        <v>410</v>
      </c>
      <c r="B24" s="230"/>
      <c r="C24" s="230"/>
      <c r="D24" s="230"/>
      <c r="E24" s="230"/>
      <c r="F24" s="230"/>
      <c r="G24" s="230"/>
      <c r="H24" s="230"/>
      <c r="I24" s="227"/>
    </row>
    <row r="25" spans="1:9">
      <c r="A25" s="231"/>
      <c r="B25" s="230"/>
      <c r="C25" s="230"/>
      <c r="D25" s="230"/>
      <c r="E25" s="230"/>
      <c r="F25" s="230"/>
      <c r="G25" s="230"/>
      <c r="H25" s="230"/>
      <c r="I25" s="227"/>
    </row>
    <row r="26" spans="1:9">
      <c r="A26" s="231"/>
      <c r="B26" s="230"/>
      <c r="C26" s="230"/>
      <c r="D26" s="230"/>
      <c r="E26" s="230"/>
      <c r="F26" s="230"/>
      <c r="G26" s="230"/>
      <c r="H26" s="230"/>
      <c r="I26" s="227"/>
    </row>
    <row r="27" spans="1:9" s="235" customFormat="1">
      <c r="A27" s="231"/>
      <c r="B27" s="233"/>
      <c r="C27" s="233"/>
      <c r="D27" s="233"/>
      <c r="E27" s="233"/>
      <c r="F27" s="233"/>
      <c r="G27" s="233"/>
      <c r="H27" s="233"/>
      <c r="I27" s="234"/>
    </row>
    <row r="28" spans="1:9" s="235" customFormat="1">
      <c r="A28" s="231"/>
      <c r="B28" s="233"/>
      <c r="C28" s="233"/>
      <c r="D28" s="233"/>
      <c r="E28" s="233"/>
      <c r="F28" s="233"/>
      <c r="G28" s="233"/>
      <c r="H28" s="233"/>
      <c r="I28" s="234"/>
    </row>
    <row r="29" spans="1:9" s="235" customFormat="1">
      <c r="A29" s="231"/>
      <c r="B29" s="233"/>
      <c r="C29" s="233"/>
      <c r="D29" s="233"/>
      <c r="E29" s="233"/>
      <c r="F29" s="233"/>
      <c r="G29" s="233"/>
      <c r="H29" s="233"/>
      <c r="I29" s="234"/>
    </row>
    <row r="30" spans="1:9" s="235" customFormat="1">
      <c r="A30" s="231"/>
      <c r="B30" s="233"/>
      <c r="C30" s="233"/>
      <c r="D30" s="233"/>
      <c r="E30" s="233"/>
      <c r="F30" s="233"/>
      <c r="G30" s="233"/>
      <c r="H30" s="233"/>
      <c r="I30" s="234"/>
    </row>
    <row r="31" spans="1:9">
      <c r="A31" s="231"/>
      <c r="B31" s="230"/>
      <c r="C31" s="230"/>
      <c r="D31" s="230"/>
      <c r="E31" s="230"/>
      <c r="F31" s="230"/>
      <c r="G31" s="230"/>
      <c r="H31" s="230"/>
      <c r="I31" s="227"/>
    </row>
    <row r="32" spans="1:9">
      <c r="A32" s="231"/>
      <c r="B32" s="230"/>
      <c r="C32" s="230"/>
      <c r="D32" s="230"/>
      <c r="E32" s="230"/>
      <c r="F32" s="230"/>
      <c r="G32" s="230"/>
      <c r="H32" s="230"/>
      <c r="I32" s="227"/>
    </row>
    <row r="33" spans="1:9">
      <c r="A33" s="231"/>
      <c r="B33" s="230"/>
      <c r="C33" s="230"/>
      <c r="D33" s="230"/>
      <c r="E33" s="230"/>
      <c r="F33" s="230"/>
      <c r="G33" s="230"/>
      <c r="H33" s="230"/>
      <c r="I33" s="227"/>
    </row>
    <row r="34" spans="1:9">
      <c r="A34" s="229"/>
      <c r="B34" s="230"/>
      <c r="C34" s="230"/>
      <c r="D34" s="230"/>
      <c r="E34" s="230"/>
      <c r="F34" s="230"/>
      <c r="G34" s="230"/>
      <c r="H34" s="230"/>
      <c r="I34" s="227"/>
    </row>
    <row r="35" spans="1:9">
      <c r="A35" s="229"/>
      <c r="B35" s="230"/>
      <c r="C35" s="230"/>
      <c r="D35" s="230"/>
      <c r="E35" s="230"/>
      <c r="F35" s="230"/>
      <c r="G35" s="230"/>
      <c r="H35" s="230"/>
      <c r="I35" s="227"/>
    </row>
    <row r="36" spans="1:9">
      <c r="A36" s="229"/>
      <c r="B36" s="230"/>
      <c r="C36" s="230"/>
      <c r="D36" s="230"/>
      <c r="E36" s="230"/>
      <c r="F36" s="230"/>
      <c r="G36" s="230"/>
      <c r="H36" s="230"/>
      <c r="I36" s="227"/>
    </row>
    <row r="37" spans="1:9">
      <c r="A37" s="229"/>
      <c r="B37" s="230"/>
      <c r="C37" s="230"/>
      <c r="D37" s="230"/>
      <c r="E37" s="230"/>
      <c r="F37" s="230"/>
      <c r="G37" s="230"/>
      <c r="H37" s="230"/>
      <c r="I37" s="227"/>
    </row>
    <row r="38" spans="1:9">
      <c r="A38" s="229"/>
      <c r="B38" s="230"/>
      <c r="C38" s="230"/>
      <c r="D38" s="230"/>
      <c r="E38" s="230"/>
      <c r="F38" s="230"/>
      <c r="G38" s="230"/>
      <c r="H38" s="230"/>
      <c r="I38" s="227"/>
    </row>
    <row r="39" spans="1:9">
      <c r="A39" s="229"/>
      <c r="B39" s="230"/>
      <c r="C39" s="230"/>
      <c r="D39" s="230"/>
      <c r="E39" s="230"/>
      <c r="F39" s="230"/>
      <c r="G39" s="230"/>
      <c r="H39" s="230"/>
      <c r="I39" s="227"/>
    </row>
    <row r="40" spans="1:9">
      <c r="A40" s="229"/>
      <c r="B40" s="230"/>
      <c r="C40" s="230"/>
      <c r="D40" s="230"/>
      <c r="E40" s="230"/>
      <c r="F40" s="230"/>
      <c r="G40" s="230"/>
      <c r="H40" s="230"/>
      <c r="I40" s="227"/>
    </row>
    <row r="41" spans="1:9">
      <c r="A41" s="229"/>
      <c r="B41" s="230"/>
      <c r="C41" s="230"/>
      <c r="D41" s="230"/>
      <c r="E41" s="230"/>
      <c r="F41" s="230"/>
      <c r="G41" s="230"/>
      <c r="H41" s="230"/>
      <c r="I41" s="227"/>
    </row>
    <row r="42" spans="1:9">
      <c r="A42" s="229"/>
      <c r="B42" s="230"/>
      <c r="C42" s="230"/>
      <c r="D42" s="230"/>
      <c r="E42" s="230"/>
      <c r="F42" s="230"/>
      <c r="G42" s="230"/>
      <c r="H42" s="230"/>
      <c r="I42" s="227"/>
    </row>
    <row r="43" spans="1:9">
      <c r="A43" s="229"/>
      <c r="B43" s="230"/>
      <c r="C43" s="230"/>
      <c r="D43" s="230"/>
      <c r="E43" s="230"/>
      <c r="F43" s="230"/>
      <c r="G43" s="230"/>
      <c r="H43" s="230"/>
      <c r="I43" s="227"/>
    </row>
    <row r="44" spans="1:9">
      <c r="A44" s="229"/>
      <c r="B44" s="230"/>
      <c r="C44" s="230"/>
      <c r="D44" s="230"/>
      <c r="E44" s="230"/>
      <c r="F44" s="230"/>
      <c r="G44" s="230"/>
      <c r="H44" s="230"/>
      <c r="I44" s="227"/>
    </row>
    <row r="45" spans="1:9">
      <c r="A45" s="229"/>
      <c r="B45" s="230"/>
      <c r="C45" s="230"/>
      <c r="D45" s="230"/>
      <c r="E45" s="230"/>
      <c r="F45" s="230"/>
      <c r="G45" s="230"/>
      <c r="H45" s="230"/>
      <c r="I45" s="227"/>
    </row>
    <row r="46" spans="1:9">
      <c r="A46" s="229"/>
      <c r="B46" s="230"/>
      <c r="C46" s="230"/>
      <c r="D46" s="230"/>
      <c r="E46" s="230"/>
      <c r="F46" s="230"/>
      <c r="G46" s="230"/>
      <c r="H46" s="230"/>
      <c r="I46" s="227"/>
    </row>
    <row r="47" spans="1:9">
      <c r="A47" s="229"/>
      <c r="B47" s="230"/>
      <c r="C47" s="230"/>
      <c r="D47" s="230"/>
      <c r="E47" s="230"/>
      <c r="F47" s="230"/>
      <c r="G47" s="230"/>
      <c r="H47" s="230"/>
      <c r="I47" s="227"/>
    </row>
    <row r="48" spans="1:9">
      <c r="A48" s="229"/>
      <c r="B48" s="230"/>
      <c r="C48" s="230"/>
      <c r="D48" s="230"/>
      <c r="E48" s="230"/>
      <c r="F48" s="230"/>
      <c r="G48" s="230"/>
      <c r="H48" s="230"/>
      <c r="I48" s="227"/>
    </row>
    <row r="49" spans="1:9">
      <c r="A49" s="229"/>
      <c r="B49" s="230"/>
      <c r="C49" s="230"/>
      <c r="D49" s="230"/>
      <c r="E49" s="230"/>
      <c r="F49" s="230"/>
      <c r="G49" s="230"/>
      <c r="H49" s="230"/>
      <c r="I49" s="227"/>
    </row>
    <row r="50" spans="1:9">
      <c r="A50" s="229"/>
      <c r="B50" s="230"/>
      <c r="C50" s="230"/>
      <c r="D50" s="230"/>
      <c r="E50" s="230"/>
      <c r="F50" s="230"/>
      <c r="G50" s="230"/>
      <c r="H50" s="230"/>
      <c r="I50" s="227"/>
    </row>
    <row r="51" spans="1:9">
      <c r="A51" s="229"/>
      <c r="B51" s="230"/>
      <c r="C51" s="230"/>
      <c r="D51" s="230"/>
      <c r="E51" s="230"/>
      <c r="F51" s="230"/>
      <c r="G51" s="230"/>
      <c r="H51" s="230"/>
      <c r="I51" s="227"/>
    </row>
    <row r="52" spans="1:9">
      <c r="A52" s="229"/>
      <c r="B52" s="230"/>
      <c r="C52" s="230"/>
      <c r="D52" s="230"/>
      <c r="E52" s="230"/>
      <c r="F52" s="230"/>
      <c r="G52" s="230"/>
      <c r="H52" s="230"/>
      <c r="I52" s="227"/>
    </row>
    <row r="53" spans="1:9">
      <c r="A53" s="229"/>
      <c r="B53" s="230"/>
      <c r="C53" s="230"/>
      <c r="D53" s="230"/>
      <c r="E53" s="230"/>
      <c r="F53" s="230"/>
      <c r="G53" s="230"/>
      <c r="H53" s="230"/>
      <c r="I53" s="227"/>
    </row>
    <row r="54" spans="1:9">
      <c r="A54" s="229"/>
      <c r="B54" s="230"/>
      <c r="C54" s="230"/>
      <c r="D54" s="230"/>
      <c r="E54" s="230"/>
      <c r="F54" s="230"/>
      <c r="G54" s="230"/>
      <c r="H54" s="230"/>
      <c r="I54" s="227"/>
    </row>
    <row r="55" spans="1:9">
      <c r="A55" s="229"/>
      <c r="B55" s="230"/>
      <c r="C55" s="230"/>
      <c r="D55" s="230"/>
      <c r="E55" s="230"/>
      <c r="F55" s="230"/>
      <c r="G55" s="230"/>
      <c r="H55" s="230"/>
      <c r="I55" s="227"/>
    </row>
    <row r="56" spans="1:9">
      <c r="A56" s="229"/>
      <c r="B56" s="230"/>
      <c r="C56" s="230"/>
      <c r="D56" s="230"/>
      <c r="E56" s="230"/>
      <c r="F56" s="230"/>
      <c r="G56" s="230"/>
      <c r="H56" s="230"/>
      <c r="I56" s="227"/>
    </row>
    <row r="57" spans="1:9">
      <c r="A57" s="229"/>
      <c r="B57" s="230"/>
      <c r="C57" s="230"/>
      <c r="D57" s="230"/>
      <c r="E57" s="230"/>
      <c r="F57" s="230"/>
      <c r="G57" s="230"/>
      <c r="H57" s="230"/>
      <c r="I57" s="227"/>
    </row>
    <row r="58" spans="1:9">
      <c r="A58" s="229"/>
      <c r="B58" s="230"/>
      <c r="C58" s="230"/>
      <c r="D58" s="230"/>
      <c r="E58" s="230"/>
      <c r="F58" s="230"/>
      <c r="G58" s="230"/>
      <c r="H58" s="230"/>
      <c r="I58" s="227"/>
    </row>
    <row r="59" spans="1:9">
      <c r="A59" s="229"/>
      <c r="B59" s="230"/>
      <c r="C59" s="230"/>
      <c r="D59" s="230"/>
      <c r="E59" s="230"/>
      <c r="F59" s="230"/>
      <c r="G59" s="230"/>
      <c r="H59" s="230"/>
      <c r="I59" s="227"/>
    </row>
    <row r="60" spans="1:9">
      <c r="A60" s="236"/>
      <c r="B60" s="237"/>
      <c r="C60" s="237"/>
      <c r="D60" s="237"/>
      <c r="E60" s="237"/>
      <c r="F60" s="237"/>
      <c r="G60" s="237"/>
      <c r="H60" s="237"/>
      <c r="I60" s="238"/>
    </row>
  </sheetData>
  <mergeCells count="1">
    <mergeCell ref="A1:H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T206"/>
  <sheetViews>
    <sheetView showGridLines="0" workbookViewId="0">
      <pane ySplit="4" topLeftCell="A5" activePane="bottomLeft" state="frozen"/>
      <selection pane="bottomLeft" activeCell="B18" sqref="B18"/>
    </sheetView>
  </sheetViews>
  <sheetFormatPr baseColWidth="10" defaultColWidth="8.83203125" defaultRowHeight="15"/>
  <cols>
    <col min="1" max="1" width="8.1640625" customWidth="1"/>
    <col min="2" max="2" width="246.5" customWidth="1"/>
  </cols>
  <sheetData>
    <row r="1" spans="1:20" s="146" customFormat="1" ht="19">
      <c r="A1" s="145" t="s">
        <v>372</v>
      </c>
      <c r="B1" s="145"/>
      <c r="C1" s="145"/>
      <c r="D1" s="145"/>
      <c r="E1" s="145"/>
      <c r="F1" s="145"/>
      <c r="G1" s="145"/>
      <c r="H1" s="145"/>
      <c r="I1" s="145"/>
      <c r="J1" s="145"/>
      <c r="K1" s="145"/>
      <c r="L1" s="145"/>
      <c r="M1" s="145"/>
      <c r="N1" s="145"/>
      <c r="O1" s="145"/>
      <c r="P1" s="145"/>
      <c r="Q1" s="145"/>
      <c r="R1" s="145"/>
      <c r="S1" s="145"/>
      <c r="T1" s="145"/>
    </row>
    <row r="2" spans="1:20" s="92" customFormat="1" ht="19">
      <c r="A2" s="257" t="s">
        <v>330</v>
      </c>
      <c r="B2" s="257"/>
      <c r="C2" s="257"/>
      <c r="D2" s="257"/>
      <c r="E2" s="257"/>
      <c r="F2" s="257"/>
      <c r="G2" s="257"/>
      <c r="H2" s="257"/>
      <c r="I2" s="257"/>
      <c r="J2" s="257"/>
      <c r="K2" s="257"/>
      <c r="L2" s="257"/>
      <c r="M2" s="257"/>
      <c r="N2" s="257"/>
      <c r="O2" s="257"/>
      <c r="P2" s="257"/>
      <c r="Q2" s="257"/>
      <c r="R2" s="257"/>
      <c r="S2" s="257"/>
      <c r="T2" s="257"/>
    </row>
    <row r="4" spans="1:20" ht="16">
      <c r="A4" s="130" t="s">
        <v>373</v>
      </c>
      <c r="B4" s="134" t="s">
        <v>6</v>
      </c>
    </row>
    <row r="5" spans="1:20" ht="16">
      <c r="A5" s="131">
        <v>1</v>
      </c>
      <c r="B5" s="132" t="s">
        <v>442</v>
      </c>
    </row>
    <row r="6" spans="1:20" ht="16">
      <c r="A6" s="131">
        <v>2</v>
      </c>
      <c r="B6" s="132" t="s">
        <v>388</v>
      </c>
    </row>
    <row r="7" spans="1:20" ht="16">
      <c r="A7" s="131">
        <v>3</v>
      </c>
      <c r="B7" s="131" t="s">
        <v>389</v>
      </c>
    </row>
    <row r="8" spans="1:20" ht="16">
      <c r="A8" s="131">
        <v>4</v>
      </c>
      <c r="B8" s="131" t="s">
        <v>443</v>
      </c>
    </row>
    <row r="9" spans="1:20" ht="16">
      <c r="A9" s="131">
        <v>5</v>
      </c>
      <c r="B9" s="131" t="s">
        <v>444</v>
      </c>
    </row>
    <row r="10" spans="1:20" ht="16">
      <c r="A10" s="131">
        <v>6</v>
      </c>
      <c r="B10" s="131" t="s">
        <v>445</v>
      </c>
    </row>
    <row r="11" spans="1:20" ht="16">
      <c r="A11" s="131">
        <v>7</v>
      </c>
      <c r="B11" s="131" t="s">
        <v>390</v>
      </c>
    </row>
    <row r="12" spans="1:20" ht="16">
      <c r="A12" s="131">
        <v>8</v>
      </c>
      <c r="B12" s="131" t="s">
        <v>446</v>
      </c>
    </row>
    <row r="13" spans="1:20" ht="16">
      <c r="A13" s="131">
        <v>9</v>
      </c>
      <c r="B13" s="131" t="s">
        <v>391</v>
      </c>
    </row>
    <row r="14" spans="1:20" ht="16">
      <c r="A14" s="131">
        <v>10</v>
      </c>
      <c r="B14" s="131" t="s">
        <v>447</v>
      </c>
    </row>
    <row r="15" spans="1:20" ht="16">
      <c r="A15" s="131">
        <v>11</v>
      </c>
      <c r="B15" s="131" t="s">
        <v>392</v>
      </c>
    </row>
    <row r="16" spans="1:20" ht="16">
      <c r="A16" s="131">
        <v>12</v>
      </c>
      <c r="B16" s="132" t="s">
        <v>396</v>
      </c>
    </row>
    <row r="17" spans="1:2" ht="16">
      <c r="A17" s="131">
        <v>13</v>
      </c>
      <c r="B17" s="132" t="s">
        <v>393</v>
      </c>
    </row>
    <row r="18" spans="1:2" ht="16">
      <c r="A18" s="131">
        <v>14</v>
      </c>
      <c r="B18" s="131" t="s">
        <v>394</v>
      </c>
    </row>
    <row r="19" spans="1:2" ht="16">
      <c r="A19" s="131">
        <v>15</v>
      </c>
      <c r="B19" s="131" t="s">
        <v>395</v>
      </c>
    </row>
    <row r="20" spans="1:2" ht="32">
      <c r="A20" s="131">
        <v>16</v>
      </c>
      <c r="B20" s="131" t="s">
        <v>425</v>
      </c>
    </row>
    <row r="21" spans="1:2" ht="16">
      <c r="A21" s="131">
        <v>17</v>
      </c>
      <c r="B21" s="131" t="s">
        <v>397</v>
      </c>
    </row>
    <row r="22" spans="1:2" ht="16">
      <c r="A22" s="131">
        <v>18</v>
      </c>
      <c r="B22" s="131" t="s">
        <v>398</v>
      </c>
    </row>
    <row r="23" spans="1:2" ht="16">
      <c r="A23" s="131">
        <v>19</v>
      </c>
      <c r="B23" s="131" t="s">
        <v>399</v>
      </c>
    </row>
    <row r="24" spans="1:2" ht="16">
      <c r="A24" s="131">
        <v>20</v>
      </c>
      <c r="B24" s="131" t="s">
        <v>426</v>
      </c>
    </row>
    <row r="25" spans="1:2" ht="16">
      <c r="A25" s="131">
        <v>21</v>
      </c>
      <c r="B25" s="131" t="s">
        <v>427</v>
      </c>
    </row>
    <row r="26" spans="1:2" ht="16">
      <c r="A26" s="131">
        <v>22</v>
      </c>
      <c r="B26" s="131" t="s">
        <v>423</v>
      </c>
    </row>
    <row r="27" spans="1:2">
      <c r="A27" s="133"/>
      <c r="B27" s="131"/>
    </row>
    <row r="28" spans="1:2">
      <c r="A28" s="133"/>
      <c r="B28" s="131"/>
    </row>
    <row r="29" spans="1:2">
      <c r="A29" s="133"/>
      <c r="B29" s="131"/>
    </row>
    <row r="30" spans="1:2">
      <c r="A30" s="133"/>
      <c r="B30" s="131"/>
    </row>
    <row r="31" spans="1:2">
      <c r="A31" s="133"/>
      <c r="B31" s="131"/>
    </row>
    <row r="32" spans="1:2">
      <c r="A32" s="133"/>
      <c r="B32" s="131"/>
    </row>
    <row r="33" spans="1:2">
      <c r="A33" s="133"/>
      <c r="B33" s="131"/>
    </row>
    <row r="34" spans="1:2">
      <c r="A34" s="133"/>
      <c r="B34" s="131"/>
    </row>
    <row r="35" spans="1:2">
      <c r="A35" s="133"/>
      <c r="B35" s="131"/>
    </row>
    <row r="36" spans="1:2">
      <c r="A36" s="133"/>
      <c r="B36" s="131"/>
    </row>
    <row r="37" spans="1:2">
      <c r="A37" s="133"/>
      <c r="B37" s="131"/>
    </row>
    <row r="38" spans="1:2">
      <c r="A38" s="133"/>
      <c r="B38" s="131"/>
    </row>
    <row r="39" spans="1:2">
      <c r="A39" s="133"/>
      <c r="B39" s="131"/>
    </row>
    <row r="40" spans="1:2">
      <c r="A40" s="133"/>
      <c r="B40" s="131"/>
    </row>
    <row r="41" spans="1:2">
      <c r="A41" s="133"/>
      <c r="B41" s="131"/>
    </row>
    <row r="42" spans="1:2">
      <c r="A42" s="133"/>
      <c r="B42" s="131"/>
    </row>
    <row r="43" spans="1:2">
      <c r="A43" s="133"/>
      <c r="B43" s="131"/>
    </row>
    <row r="44" spans="1:2">
      <c r="A44" s="133"/>
      <c r="B44" s="131"/>
    </row>
    <row r="45" spans="1:2">
      <c r="A45" s="133"/>
      <c r="B45" s="131"/>
    </row>
    <row r="46" spans="1:2">
      <c r="A46" s="133"/>
      <c r="B46" s="131"/>
    </row>
    <row r="47" spans="1:2">
      <c r="A47" s="133"/>
      <c r="B47" s="131"/>
    </row>
    <row r="48" spans="1:2">
      <c r="A48" s="133"/>
      <c r="B48" s="131"/>
    </row>
    <row r="49" spans="1:2">
      <c r="A49" s="133"/>
      <c r="B49" s="131"/>
    </row>
    <row r="50" spans="1:2">
      <c r="A50" s="133"/>
      <c r="B50" s="131"/>
    </row>
    <row r="51" spans="1:2">
      <c r="A51" s="133"/>
      <c r="B51" s="131"/>
    </row>
    <row r="52" spans="1:2">
      <c r="A52" s="133"/>
      <c r="B52" s="131"/>
    </row>
    <row r="53" spans="1:2">
      <c r="A53" s="133"/>
      <c r="B53" s="131"/>
    </row>
    <row r="54" spans="1:2">
      <c r="A54" s="133"/>
      <c r="B54" s="131"/>
    </row>
    <row r="55" spans="1:2">
      <c r="A55" s="133"/>
      <c r="B55" s="131"/>
    </row>
    <row r="56" spans="1:2">
      <c r="A56" s="133"/>
      <c r="B56" s="131"/>
    </row>
    <row r="57" spans="1:2">
      <c r="A57" s="133"/>
      <c r="B57" s="131"/>
    </row>
    <row r="58" spans="1:2">
      <c r="A58" s="133"/>
      <c r="B58" s="131"/>
    </row>
    <row r="59" spans="1:2">
      <c r="A59" s="133"/>
      <c r="B59" s="131"/>
    </row>
    <row r="60" spans="1:2">
      <c r="A60" s="133"/>
      <c r="B60" s="131"/>
    </row>
    <row r="61" spans="1:2">
      <c r="A61" s="133"/>
      <c r="B61" s="131"/>
    </row>
    <row r="62" spans="1:2">
      <c r="A62" s="133"/>
      <c r="B62" s="131"/>
    </row>
    <row r="63" spans="1:2">
      <c r="A63" s="133"/>
      <c r="B63" s="131"/>
    </row>
    <row r="64" spans="1:2">
      <c r="A64" s="133"/>
      <c r="B64" s="131"/>
    </row>
    <row r="65" spans="1:2">
      <c r="A65" s="133"/>
      <c r="B65" s="131"/>
    </row>
    <row r="66" spans="1:2">
      <c r="A66" s="133"/>
      <c r="B66" s="131"/>
    </row>
    <row r="67" spans="1:2">
      <c r="A67" s="133"/>
      <c r="B67" s="131"/>
    </row>
    <row r="68" spans="1:2">
      <c r="A68" s="133"/>
      <c r="B68" s="131"/>
    </row>
    <row r="69" spans="1:2">
      <c r="A69" s="133"/>
      <c r="B69" s="131"/>
    </row>
    <row r="70" spans="1:2">
      <c r="A70" s="133"/>
      <c r="B70" s="131"/>
    </row>
    <row r="71" spans="1:2">
      <c r="A71" s="133"/>
      <c r="B71" s="131"/>
    </row>
    <row r="72" spans="1:2">
      <c r="A72" s="133"/>
      <c r="B72" s="131"/>
    </row>
    <row r="73" spans="1:2">
      <c r="A73" s="133"/>
      <c r="B73" s="131"/>
    </row>
    <row r="74" spans="1:2">
      <c r="A74" s="133"/>
      <c r="B74" s="131"/>
    </row>
    <row r="75" spans="1:2">
      <c r="A75" s="133"/>
      <c r="B75" s="131"/>
    </row>
    <row r="76" spans="1:2">
      <c r="A76" s="133"/>
      <c r="B76" s="131"/>
    </row>
    <row r="77" spans="1:2">
      <c r="A77" s="133"/>
      <c r="B77" s="131"/>
    </row>
    <row r="78" spans="1:2">
      <c r="A78" s="133"/>
      <c r="B78" s="131"/>
    </row>
    <row r="79" spans="1:2">
      <c r="A79" s="133"/>
      <c r="B79" s="131"/>
    </row>
    <row r="80" spans="1:2">
      <c r="A80" s="133"/>
      <c r="B80" s="131"/>
    </row>
    <row r="81" spans="1:2">
      <c r="A81" s="133"/>
      <c r="B81" s="131"/>
    </row>
    <row r="82" spans="1:2">
      <c r="A82" s="133"/>
      <c r="B82" s="131"/>
    </row>
    <row r="83" spans="1:2">
      <c r="A83" s="133"/>
      <c r="B83" s="131"/>
    </row>
    <row r="84" spans="1:2">
      <c r="A84" s="133"/>
      <c r="B84" s="131"/>
    </row>
    <row r="85" spans="1:2">
      <c r="A85" s="133"/>
      <c r="B85" s="131"/>
    </row>
    <row r="86" spans="1:2">
      <c r="A86" s="133"/>
      <c r="B86" s="131"/>
    </row>
    <row r="87" spans="1:2">
      <c r="A87" s="133"/>
      <c r="B87" s="131"/>
    </row>
    <row r="88" spans="1:2">
      <c r="A88" s="133"/>
      <c r="B88" s="131"/>
    </row>
    <row r="89" spans="1:2">
      <c r="A89" s="133"/>
      <c r="B89" s="131"/>
    </row>
    <row r="90" spans="1:2">
      <c r="A90" s="133"/>
      <c r="B90" s="131"/>
    </row>
    <row r="91" spans="1:2">
      <c r="A91" s="133"/>
      <c r="B91" s="131"/>
    </row>
    <row r="92" spans="1:2">
      <c r="A92" s="133"/>
      <c r="B92" s="131"/>
    </row>
    <row r="93" spans="1:2">
      <c r="A93" s="133"/>
      <c r="B93" s="131"/>
    </row>
    <row r="94" spans="1:2">
      <c r="A94" s="133"/>
      <c r="B94" s="131"/>
    </row>
    <row r="95" spans="1:2">
      <c r="A95" s="133"/>
      <c r="B95" s="131"/>
    </row>
    <row r="96" spans="1:2">
      <c r="A96" s="133"/>
      <c r="B96" s="131"/>
    </row>
    <row r="97" spans="1:2">
      <c r="A97" s="133"/>
      <c r="B97" s="131"/>
    </row>
    <row r="98" spans="1:2">
      <c r="A98" s="133"/>
      <c r="B98" s="131"/>
    </row>
    <row r="99" spans="1:2">
      <c r="A99" s="133"/>
      <c r="B99" s="131"/>
    </row>
    <row r="100" spans="1:2">
      <c r="A100" s="133"/>
      <c r="B100" s="131"/>
    </row>
    <row r="101" spans="1:2">
      <c r="A101" s="133"/>
      <c r="B101" s="131"/>
    </row>
    <row r="102" spans="1:2">
      <c r="A102" s="133"/>
      <c r="B102" s="131"/>
    </row>
    <row r="103" spans="1:2">
      <c r="A103" s="133"/>
      <c r="B103" s="131"/>
    </row>
    <row r="104" spans="1:2">
      <c r="A104" s="133"/>
      <c r="B104" s="131"/>
    </row>
    <row r="105" spans="1:2">
      <c r="A105" s="133"/>
      <c r="B105" s="131"/>
    </row>
    <row r="106" spans="1:2">
      <c r="A106" s="133"/>
      <c r="B106" s="131"/>
    </row>
    <row r="107" spans="1:2">
      <c r="A107" s="133"/>
      <c r="B107" s="131"/>
    </row>
    <row r="108" spans="1:2">
      <c r="A108" s="133"/>
      <c r="B108" s="131"/>
    </row>
    <row r="109" spans="1:2">
      <c r="A109" s="133"/>
      <c r="B109" s="131"/>
    </row>
    <row r="110" spans="1:2">
      <c r="A110" s="133"/>
      <c r="B110" s="131"/>
    </row>
    <row r="111" spans="1:2">
      <c r="A111" s="133"/>
      <c r="B111" s="131"/>
    </row>
    <row r="112" spans="1:2">
      <c r="A112" s="133"/>
      <c r="B112" s="131"/>
    </row>
    <row r="113" spans="1:2">
      <c r="A113" s="133"/>
      <c r="B113" s="131"/>
    </row>
    <row r="114" spans="1:2">
      <c r="A114" s="133"/>
      <c r="B114" s="131"/>
    </row>
    <row r="115" spans="1:2">
      <c r="A115" s="133"/>
      <c r="B115" s="131"/>
    </row>
    <row r="116" spans="1:2">
      <c r="A116" s="133"/>
      <c r="B116" s="131"/>
    </row>
    <row r="117" spans="1:2">
      <c r="A117" s="133"/>
      <c r="B117" s="131"/>
    </row>
    <row r="118" spans="1:2">
      <c r="A118" s="133"/>
      <c r="B118" s="131"/>
    </row>
    <row r="119" spans="1:2">
      <c r="A119" s="133"/>
      <c r="B119" s="131"/>
    </row>
    <row r="120" spans="1:2">
      <c r="A120" s="133"/>
      <c r="B120" s="131"/>
    </row>
    <row r="121" spans="1:2">
      <c r="A121" s="133"/>
      <c r="B121" s="131"/>
    </row>
    <row r="122" spans="1:2">
      <c r="A122" s="133"/>
      <c r="B122" s="131"/>
    </row>
    <row r="123" spans="1:2">
      <c r="A123" s="133"/>
      <c r="B123" s="131"/>
    </row>
    <row r="124" spans="1:2">
      <c r="A124" s="133"/>
      <c r="B124" s="131"/>
    </row>
    <row r="125" spans="1:2">
      <c r="A125" s="133"/>
      <c r="B125" s="131"/>
    </row>
    <row r="126" spans="1:2">
      <c r="A126" s="133"/>
      <c r="B126" s="131"/>
    </row>
    <row r="127" spans="1:2">
      <c r="A127" s="133"/>
      <c r="B127" s="131"/>
    </row>
    <row r="128" spans="1:2">
      <c r="A128" s="133"/>
      <c r="B128" s="131"/>
    </row>
    <row r="129" spans="1:2">
      <c r="A129" s="133"/>
      <c r="B129" s="131"/>
    </row>
    <row r="130" spans="1:2">
      <c r="A130" s="133"/>
      <c r="B130" s="131"/>
    </row>
    <row r="131" spans="1:2">
      <c r="A131" s="133"/>
      <c r="B131" s="131"/>
    </row>
    <row r="132" spans="1:2">
      <c r="A132" s="133"/>
      <c r="B132" s="131"/>
    </row>
    <row r="133" spans="1:2">
      <c r="A133" s="133"/>
      <c r="B133" s="131"/>
    </row>
    <row r="134" spans="1:2">
      <c r="A134" s="133"/>
      <c r="B134" s="131"/>
    </row>
    <row r="135" spans="1:2">
      <c r="A135" s="133"/>
      <c r="B135" s="131"/>
    </row>
    <row r="136" spans="1:2">
      <c r="A136" s="133"/>
      <c r="B136" s="131"/>
    </row>
    <row r="137" spans="1:2">
      <c r="A137" s="133"/>
      <c r="B137" s="131"/>
    </row>
    <row r="138" spans="1:2">
      <c r="A138" s="133"/>
      <c r="B138" s="131"/>
    </row>
    <row r="139" spans="1:2">
      <c r="A139" s="133"/>
      <c r="B139" s="131"/>
    </row>
    <row r="140" spans="1:2">
      <c r="A140" s="133"/>
      <c r="B140" s="131"/>
    </row>
    <row r="141" spans="1:2">
      <c r="A141" s="133"/>
      <c r="B141" s="131"/>
    </row>
    <row r="142" spans="1:2">
      <c r="A142" s="133"/>
      <c r="B142" s="131"/>
    </row>
    <row r="143" spans="1:2">
      <c r="A143" s="133"/>
      <c r="B143" s="131"/>
    </row>
    <row r="144" spans="1:2">
      <c r="A144" s="133"/>
      <c r="B144" s="131"/>
    </row>
    <row r="145" spans="1:2">
      <c r="A145" s="133"/>
      <c r="B145" s="131"/>
    </row>
    <row r="146" spans="1:2">
      <c r="A146" s="133"/>
      <c r="B146" s="131"/>
    </row>
    <row r="147" spans="1:2">
      <c r="A147" s="133"/>
      <c r="B147" s="131"/>
    </row>
    <row r="148" spans="1:2">
      <c r="A148" s="133"/>
      <c r="B148" s="131"/>
    </row>
    <row r="149" spans="1:2">
      <c r="A149" s="133"/>
      <c r="B149" s="131"/>
    </row>
    <row r="150" spans="1:2">
      <c r="A150" s="133"/>
      <c r="B150" s="131"/>
    </row>
    <row r="151" spans="1:2">
      <c r="A151" s="133"/>
      <c r="B151" s="131"/>
    </row>
    <row r="152" spans="1:2">
      <c r="A152" s="133"/>
      <c r="B152" s="131"/>
    </row>
    <row r="153" spans="1:2">
      <c r="A153" s="133"/>
      <c r="B153" s="131"/>
    </row>
    <row r="154" spans="1:2">
      <c r="A154" s="133"/>
      <c r="B154" s="131"/>
    </row>
    <row r="155" spans="1:2">
      <c r="A155" s="133"/>
      <c r="B155" s="131"/>
    </row>
    <row r="156" spans="1:2">
      <c r="A156" s="133"/>
      <c r="B156" s="131"/>
    </row>
    <row r="157" spans="1:2">
      <c r="A157" s="133"/>
      <c r="B157" s="131"/>
    </row>
    <row r="158" spans="1:2">
      <c r="A158" s="133"/>
      <c r="B158" s="131"/>
    </row>
    <row r="159" spans="1:2">
      <c r="A159" s="133"/>
      <c r="B159" s="131"/>
    </row>
    <row r="160" spans="1:2">
      <c r="A160" s="133"/>
      <c r="B160" s="131"/>
    </row>
    <row r="161" spans="1:2">
      <c r="A161" s="133"/>
      <c r="B161" s="131"/>
    </row>
    <row r="162" spans="1:2">
      <c r="A162" s="133"/>
      <c r="B162" s="131"/>
    </row>
    <row r="163" spans="1:2">
      <c r="A163" s="133"/>
      <c r="B163" s="131"/>
    </row>
    <row r="164" spans="1:2">
      <c r="A164" s="133"/>
      <c r="B164" s="131"/>
    </row>
    <row r="165" spans="1:2">
      <c r="A165" s="133"/>
      <c r="B165" s="131"/>
    </row>
    <row r="166" spans="1:2">
      <c r="A166" s="133"/>
      <c r="B166" s="131"/>
    </row>
    <row r="167" spans="1:2">
      <c r="A167" s="133"/>
      <c r="B167" s="131"/>
    </row>
    <row r="168" spans="1:2">
      <c r="A168" s="133"/>
      <c r="B168" s="131"/>
    </row>
    <row r="169" spans="1:2">
      <c r="A169" s="133"/>
      <c r="B169" s="131"/>
    </row>
    <row r="170" spans="1:2">
      <c r="A170" s="133"/>
      <c r="B170" s="131"/>
    </row>
    <row r="171" spans="1:2">
      <c r="A171" s="133"/>
      <c r="B171" s="131"/>
    </row>
    <row r="172" spans="1:2">
      <c r="A172" s="133"/>
      <c r="B172" s="131"/>
    </row>
    <row r="173" spans="1:2">
      <c r="A173" s="133"/>
      <c r="B173" s="131"/>
    </row>
    <row r="174" spans="1:2">
      <c r="A174" s="133"/>
      <c r="B174" s="131"/>
    </row>
    <row r="175" spans="1:2">
      <c r="A175" s="133"/>
      <c r="B175" s="131"/>
    </row>
    <row r="176" spans="1:2">
      <c r="A176" s="133"/>
      <c r="B176" s="131"/>
    </row>
    <row r="177" spans="1:2">
      <c r="A177" s="133"/>
      <c r="B177" s="131"/>
    </row>
    <row r="178" spans="1:2">
      <c r="A178" s="133"/>
      <c r="B178" s="131"/>
    </row>
    <row r="179" spans="1:2">
      <c r="A179" s="133"/>
      <c r="B179" s="131"/>
    </row>
    <row r="180" spans="1:2">
      <c r="A180" s="133"/>
      <c r="B180" s="131"/>
    </row>
    <row r="181" spans="1:2">
      <c r="A181" s="133"/>
      <c r="B181" s="131"/>
    </row>
    <row r="182" spans="1:2">
      <c r="A182" s="133"/>
      <c r="B182" s="131"/>
    </row>
    <row r="183" spans="1:2">
      <c r="A183" s="133"/>
      <c r="B183" s="131"/>
    </row>
    <row r="184" spans="1:2">
      <c r="A184" s="133"/>
      <c r="B184" s="131"/>
    </row>
    <row r="185" spans="1:2">
      <c r="A185" s="133"/>
      <c r="B185" s="131"/>
    </row>
    <row r="186" spans="1:2">
      <c r="A186" s="133"/>
      <c r="B186" s="131"/>
    </row>
    <row r="187" spans="1:2">
      <c r="A187" s="133"/>
      <c r="B187" s="131"/>
    </row>
    <row r="188" spans="1:2">
      <c r="A188" s="133"/>
      <c r="B188" s="131"/>
    </row>
    <row r="189" spans="1:2">
      <c r="A189" s="133"/>
      <c r="B189" s="131"/>
    </row>
    <row r="190" spans="1:2">
      <c r="A190" s="133"/>
      <c r="B190" s="131"/>
    </row>
    <row r="191" spans="1:2">
      <c r="A191" s="133"/>
      <c r="B191" s="131"/>
    </row>
    <row r="192" spans="1:2">
      <c r="A192" s="133"/>
      <c r="B192" s="131"/>
    </row>
    <row r="193" spans="1:2">
      <c r="A193" s="133"/>
      <c r="B193" s="131"/>
    </row>
    <row r="194" spans="1:2">
      <c r="A194" s="133"/>
      <c r="B194" s="131"/>
    </row>
    <row r="195" spans="1:2">
      <c r="A195" s="133"/>
      <c r="B195" s="131"/>
    </row>
    <row r="196" spans="1:2">
      <c r="A196" s="133"/>
      <c r="B196" s="131"/>
    </row>
    <row r="197" spans="1:2">
      <c r="A197" s="133"/>
      <c r="B197" s="131"/>
    </row>
    <row r="198" spans="1:2">
      <c r="A198" s="133"/>
      <c r="B198" s="131"/>
    </row>
    <row r="199" spans="1:2">
      <c r="A199" s="133"/>
      <c r="B199" s="131"/>
    </row>
    <row r="200" spans="1:2">
      <c r="A200" s="133"/>
      <c r="B200" s="131"/>
    </row>
    <row r="201" spans="1:2">
      <c r="A201" s="133"/>
      <c r="B201" s="131"/>
    </row>
    <row r="202" spans="1:2">
      <c r="A202" s="133"/>
      <c r="B202" s="131"/>
    </row>
    <row r="203" spans="1:2">
      <c r="A203" s="133"/>
      <c r="B203" s="131"/>
    </row>
    <row r="204" spans="1:2">
      <c r="A204" s="133"/>
      <c r="B204" s="131"/>
    </row>
    <row r="205" spans="1:2">
      <c r="A205" s="133"/>
      <c r="B205" s="131"/>
    </row>
    <row r="206" spans="1:2">
      <c r="A206" s="133"/>
      <c r="B206" s="131"/>
    </row>
  </sheetData>
  <mergeCells count="1">
    <mergeCell ref="A2:T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S201"/>
  <sheetViews>
    <sheetView showGridLines="0" topLeftCell="A22" workbookViewId="0">
      <selection activeCell="D99" sqref="D99"/>
    </sheetView>
  </sheetViews>
  <sheetFormatPr baseColWidth="10" defaultColWidth="9.1640625" defaultRowHeight="15"/>
  <cols>
    <col min="1" max="1" width="25.83203125" style="142" customWidth="1"/>
    <col min="2" max="2" width="96.83203125" style="142" bestFit="1" customWidth="1"/>
    <col min="3" max="3" width="31.1640625" style="247" customWidth="1"/>
    <col min="4" max="4" width="87.1640625" style="143" customWidth="1"/>
    <col min="5" max="16384" width="9.1640625" style="142"/>
  </cols>
  <sheetData>
    <row r="1" spans="1:19" s="151" customFormat="1" ht="19">
      <c r="A1" s="149" t="s">
        <v>374</v>
      </c>
      <c r="B1" s="149"/>
      <c r="C1" s="240"/>
      <c r="D1" s="150"/>
      <c r="E1" s="149"/>
      <c r="F1" s="149"/>
      <c r="G1" s="149"/>
      <c r="H1" s="149"/>
      <c r="I1" s="149"/>
      <c r="J1" s="149"/>
      <c r="K1" s="149"/>
      <c r="L1" s="149"/>
      <c r="M1" s="149"/>
      <c r="N1" s="149"/>
      <c r="O1" s="149"/>
      <c r="P1" s="149"/>
      <c r="Q1" s="149"/>
      <c r="R1" s="149"/>
      <c r="S1" s="149"/>
    </row>
    <row r="2" spans="1:19" customFormat="1" ht="19">
      <c r="A2" s="2" t="s">
        <v>331</v>
      </c>
      <c r="C2" s="241"/>
      <c r="D2" s="135"/>
    </row>
    <row r="3" spans="1:19" customFormat="1">
      <c r="C3" s="241"/>
      <c r="D3" s="135"/>
    </row>
    <row r="4" spans="1:19" s="138" customFormat="1" ht="16">
      <c r="A4" s="136" t="s">
        <v>375</v>
      </c>
      <c r="B4" s="136" t="s">
        <v>376</v>
      </c>
      <c r="C4" s="242" t="s">
        <v>377</v>
      </c>
      <c r="D4" s="137" t="s">
        <v>378</v>
      </c>
    </row>
    <row r="5" spans="1:19" s="140" customFormat="1">
      <c r="A5" s="139" t="s">
        <v>386</v>
      </c>
      <c r="B5" s="186" t="s">
        <v>169</v>
      </c>
      <c r="C5" s="243"/>
      <c r="D5" s="132"/>
    </row>
    <row r="6" spans="1:19" s="140" customFormat="1">
      <c r="A6" s="139" t="s">
        <v>386</v>
      </c>
      <c r="B6" s="139" t="s">
        <v>176</v>
      </c>
      <c r="C6" s="243"/>
      <c r="D6" s="132"/>
    </row>
    <row r="7" spans="1:19" ht="16">
      <c r="A7" s="139" t="s">
        <v>386</v>
      </c>
      <c r="B7" s="133" t="s">
        <v>340</v>
      </c>
      <c r="C7" s="243">
        <v>1</v>
      </c>
      <c r="D7" s="132" t="s">
        <v>449</v>
      </c>
    </row>
    <row r="8" spans="1:19" ht="16">
      <c r="A8" s="139" t="s">
        <v>386</v>
      </c>
      <c r="B8" s="133" t="s">
        <v>341</v>
      </c>
      <c r="C8" s="243">
        <v>1</v>
      </c>
      <c r="D8" s="132" t="s">
        <v>275</v>
      </c>
    </row>
    <row r="9" spans="1:19">
      <c r="A9" s="139" t="s">
        <v>386</v>
      </c>
      <c r="B9" s="133" t="s">
        <v>342</v>
      </c>
      <c r="C9" s="244"/>
      <c r="D9" s="132"/>
    </row>
    <row r="10" spans="1:19" ht="16">
      <c r="A10" s="139" t="s">
        <v>386</v>
      </c>
      <c r="B10" s="133" t="s">
        <v>344</v>
      </c>
      <c r="C10" s="244">
        <v>1</v>
      </c>
      <c r="D10" s="132" t="s">
        <v>275</v>
      </c>
    </row>
    <row r="11" spans="1:19">
      <c r="A11" s="139" t="s">
        <v>386</v>
      </c>
      <c r="B11" s="133" t="s">
        <v>345</v>
      </c>
      <c r="C11" s="245"/>
      <c r="D11" s="132"/>
    </row>
    <row r="12" spans="1:19" ht="16">
      <c r="A12" s="139" t="s">
        <v>386</v>
      </c>
      <c r="B12" s="133" t="s">
        <v>177</v>
      </c>
      <c r="C12" s="244">
        <v>2</v>
      </c>
      <c r="D12" s="132" t="s">
        <v>275</v>
      </c>
    </row>
    <row r="13" spans="1:19">
      <c r="A13" s="139" t="s">
        <v>386</v>
      </c>
      <c r="B13" s="133" t="s">
        <v>346</v>
      </c>
      <c r="C13" s="244"/>
      <c r="D13" s="132"/>
    </row>
    <row r="14" spans="1:19" ht="16">
      <c r="A14" s="139" t="s">
        <v>386</v>
      </c>
      <c r="B14" s="133" t="s">
        <v>178</v>
      </c>
      <c r="C14" s="245">
        <v>1</v>
      </c>
      <c r="D14" s="132" t="s">
        <v>275</v>
      </c>
    </row>
    <row r="15" spans="1:19">
      <c r="A15" s="139" t="s">
        <v>386</v>
      </c>
      <c r="B15" s="133" t="s">
        <v>347</v>
      </c>
      <c r="C15" s="246"/>
      <c r="D15" s="132"/>
    </row>
    <row r="16" spans="1:19" ht="16">
      <c r="A16" s="139" t="s">
        <v>386</v>
      </c>
      <c r="B16" s="133" t="s">
        <v>179</v>
      </c>
      <c r="C16" s="246">
        <v>5</v>
      </c>
      <c r="D16" s="132" t="s">
        <v>275</v>
      </c>
    </row>
    <row r="17" spans="1:4">
      <c r="A17" s="139" t="s">
        <v>386</v>
      </c>
      <c r="B17" s="133" t="s">
        <v>343</v>
      </c>
      <c r="C17" s="245"/>
      <c r="D17" s="132"/>
    </row>
    <row r="18" spans="1:4">
      <c r="A18" s="139"/>
      <c r="B18" s="133"/>
      <c r="C18" s="246"/>
      <c r="D18" s="131"/>
    </row>
    <row r="19" spans="1:4">
      <c r="A19" s="139" t="s">
        <v>386</v>
      </c>
      <c r="B19" s="186" t="s">
        <v>30</v>
      </c>
      <c r="C19" s="246"/>
      <c r="D19" s="131"/>
    </row>
    <row r="20" spans="1:4" ht="16">
      <c r="A20" s="139" t="s">
        <v>386</v>
      </c>
      <c r="B20" s="133" t="s">
        <v>24</v>
      </c>
      <c r="C20" s="246">
        <v>1</v>
      </c>
      <c r="D20" s="132" t="s">
        <v>449</v>
      </c>
    </row>
    <row r="21" spans="1:4" ht="16">
      <c r="A21" s="139" t="s">
        <v>386</v>
      </c>
      <c r="B21" s="133" t="s">
        <v>25</v>
      </c>
      <c r="C21" s="246">
        <v>5</v>
      </c>
      <c r="D21" s="132" t="s">
        <v>449</v>
      </c>
    </row>
    <row r="22" spans="1:4" ht="16">
      <c r="A22" s="139" t="s">
        <v>386</v>
      </c>
      <c r="B22" s="133" t="s">
        <v>26</v>
      </c>
      <c r="C22" s="246">
        <v>25</v>
      </c>
      <c r="D22" s="132" t="s">
        <v>451</v>
      </c>
    </row>
    <row r="23" spans="1:4" ht="16">
      <c r="A23" s="139" t="s">
        <v>386</v>
      </c>
      <c r="B23" s="133" t="s">
        <v>27</v>
      </c>
      <c r="C23" s="246">
        <v>19</v>
      </c>
      <c r="D23" s="132" t="s">
        <v>450</v>
      </c>
    </row>
    <row r="24" spans="1:4" ht="16">
      <c r="A24" s="139" t="s">
        <v>386</v>
      </c>
      <c r="B24" s="133" t="s">
        <v>211</v>
      </c>
      <c r="C24" s="246">
        <v>2</v>
      </c>
      <c r="D24" s="132" t="s">
        <v>449</v>
      </c>
    </row>
    <row r="25" spans="1:4" ht="16">
      <c r="A25" s="139" t="s">
        <v>386</v>
      </c>
      <c r="B25" s="133" t="s">
        <v>349</v>
      </c>
      <c r="C25" s="246">
        <v>2</v>
      </c>
      <c r="D25" s="132" t="s">
        <v>449</v>
      </c>
    </row>
    <row r="26" spans="1:4" ht="16">
      <c r="A26" s="139" t="s">
        <v>386</v>
      </c>
      <c r="B26" s="133" t="s">
        <v>212</v>
      </c>
      <c r="C26" s="246">
        <v>0</v>
      </c>
      <c r="D26" s="132" t="s">
        <v>275</v>
      </c>
    </row>
    <row r="27" spans="1:4" ht="16">
      <c r="A27" s="139" t="s">
        <v>386</v>
      </c>
      <c r="B27" s="133" t="s">
        <v>350</v>
      </c>
      <c r="C27" s="246">
        <v>19</v>
      </c>
      <c r="D27" s="132" t="s">
        <v>450</v>
      </c>
    </row>
    <row r="28" spans="1:4" ht="16">
      <c r="A28" s="139" t="s">
        <v>386</v>
      </c>
      <c r="B28" s="133" t="s">
        <v>28</v>
      </c>
      <c r="C28" s="246">
        <v>27</v>
      </c>
      <c r="D28" s="132" t="s">
        <v>424</v>
      </c>
    </row>
    <row r="29" spans="1:4">
      <c r="A29" s="139"/>
      <c r="B29" s="133"/>
      <c r="C29" s="246"/>
      <c r="D29" s="131"/>
    </row>
    <row r="30" spans="1:4">
      <c r="A30" s="139" t="s">
        <v>386</v>
      </c>
      <c r="B30" s="186" t="s">
        <v>123</v>
      </c>
      <c r="C30" s="246"/>
      <c r="D30" s="131"/>
    </row>
    <row r="31" spans="1:4" ht="16">
      <c r="A31" s="139" t="s">
        <v>386</v>
      </c>
      <c r="B31" s="133" t="s">
        <v>24</v>
      </c>
      <c r="C31" s="246">
        <v>0</v>
      </c>
      <c r="D31" s="132" t="s">
        <v>449</v>
      </c>
    </row>
    <row r="32" spans="1:4" ht="16">
      <c r="A32" s="139" t="s">
        <v>386</v>
      </c>
      <c r="B32" s="133" t="s">
        <v>25</v>
      </c>
      <c r="C32" s="246">
        <v>3</v>
      </c>
      <c r="D32" s="132" t="s">
        <v>449</v>
      </c>
    </row>
    <row r="33" spans="1:4" ht="16">
      <c r="A33" s="139" t="s">
        <v>386</v>
      </c>
      <c r="B33" s="133" t="s">
        <v>26</v>
      </c>
      <c r="C33" s="246">
        <v>25</v>
      </c>
      <c r="D33" s="132" t="s">
        <v>451</v>
      </c>
    </row>
    <row r="34" spans="1:4" ht="16">
      <c r="A34" s="139" t="s">
        <v>386</v>
      </c>
      <c r="B34" s="133" t="s">
        <v>27</v>
      </c>
      <c r="C34" s="246">
        <v>18.75</v>
      </c>
      <c r="D34" s="132" t="s">
        <v>450</v>
      </c>
    </row>
    <row r="35" spans="1:4" ht="16">
      <c r="A35" s="139" t="s">
        <v>386</v>
      </c>
      <c r="B35" s="133" t="s">
        <v>211</v>
      </c>
      <c r="C35" s="246">
        <v>2</v>
      </c>
      <c r="D35" s="132" t="s">
        <v>449</v>
      </c>
    </row>
    <row r="36" spans="1:4" ht="16">
      <c r="A36" s="139" t="s">
        <v>386</v>
      </c>
      <c r="B36" s="133" t="s">
        <v>212</v>
      </c>
      <c r="C36" s="246">
        <v>0</v>
      </c>
      <c r="D36" s="132" t="s">
        <v>275</v>
      </c>
    </row>
    <row r="37" spans="1:4" ht="16">
      <c r="A37" s="139" t="s">
        <v>386</v>
      </c>
      <c r="B37" s="133" t="s">
        <v>350</v>
      </c>
      <c r="C37" s="246">
        <v>18.75</v>
      </c>
      <c r="D37" s="132" t="s">
        <v>450</v>
      </c>
    </row>
    <row r="38" spans="1:4" ht="16">
      <c r="A38" s="139" t="s">
        <v>386</v>
      </c>
      <c r="B38" s="133" t="s">
        <v>349</v>
      </c>
      <c r="C38" s="246">
        <v>2</v>
      </c>
      <c r="D38" s="132" t="s">
        <v>275</v>
      </c>
    </row>
    <row r="39" spans="1:4" ht="16">
      <c r="A39" s="139" t="s">
        <v>386</v>
      </c>
      <c r="B39" s="133" t="s">
        <v>28</v>
      </c>
      <c r="C39" s="246">
        <v>27</v>
      </c>
      <c r="D39" s="132" t="s">
        <v>424</v>
      </c>
    </row>
    <row r="40" spans="1:4">
      <c r="A40" s="139"/>
      <c r="B40" s="133"/>
      <c r="C40" s="246"/>
      <c r="D40" s="131"/>
    </row>
    <row r="41" spans="1:4">
      <c r="A41" s="139" t="s">
        <v>386</v>
      </c>
      <c r="B41" s="186" t="s">
        <v>31</v>
      </c>
      <c r="C41" s="246"/>
      <c r="D41" s="131"/>
    </row>
    <row r="42" spans="1:4">
      <c r="A42" s="139" t="s">
        <v>386</v>
      </c>
      <c r="B42" s="133" t="s">
        <v>348</v>
      </c>
      <c r="C42" s="246"/>
      <c r="D42" s="131"/>
    </row>
    <row r="43" spans="1:4" ht="16">
      <c r="A43" s="139" t="s">
        <v>386</v>
      </c>
      <c r="B43" s="133" t="s">
        <v>384</v>
      </c>
      <c r="C43" s="246">
        <v>2</v>
      </c>
      <c r="D43" s="132" t="s">
        <v>449</v>
      </c>
    </row>
    <row r="44" spans="1:4" ht="16">
      <c r="A44" s="139" t="s">
        <v>386</v>
      </c>
      <c r="B44" s="133" t="s">
        <v>25</v>
      </c>
      <c r="C44" s="246">
        <v>5</v>
      </c>
      <c r="D44" s="132" t="s">
        <v>449</v>
      </c>
    </row>
    <row r="45" spans="1:4">
      <c r="A45" s="139" t="s">
        <v>386</v>
      </c>
      <c r="B45" s="133" t="s">
        <v>44</v>
      </c>
      <c r="C45" s="246"/>
      <c r="D45" s="132"/>
    </row>
    <row r="46" spans="1:4" ht="16">
      <c r="A46" s="139" t="s">
        <v>386</v>
      </c>
      <c r="B46" s="133" t="s">
        <v>42</v>
      </c>
      <c r="C46" s="246">
        <v>25</v>
      </c>
      <c r="D46" s="132" t="s">
        <v>451</v>
      </c>
    </row>
    <row r="47" spans="1:4" ht="16">
      <c r="A47" s="139" t="s">
        <v>386</v>
      </c>
      <c r="B47" s="133" t="s">
        <v>43</v>
      </c>
      <c r="C47" s="246">
        <v>19</v>
      </c>
      <c r="D47" s="132" t="s">
        <v>450</v>
      </c>
    </row>
    <row r="48" spans="1:4" ht="16">
      <c r="A48" s="139" t="s">
        <v>386</v>
      </c>
      <c r="B48" s="133" t="s">
        <v>32</v>
      </c>
      <c r="C48" s="246">
        <v>2</v>
      </c>
      <c r="D48" s="132" t="s">
        <v>449</v>
      </c>
    </row>
    <row r="49" spans="1:4" ht="16">
      <c r="A49" s="139" t="s">
        <v>386</v>
      </c>
      <c r="B49" s="133" t="s">
        <v>352</v>
      </c>
      <c r="C49" s="246">
        <v>19</v>
      </c>
      <c r="D49" s="132" t="s">
        <v>450</v>
      </c>
    </row>
    <row r="50" spans="1:4" ht="16">
      <c r="A50" s="139" t="s">
        <v>386</v>
      </c>
      <c r="B50" s="133" t="s">
        <v>351</v>
      </c>
      <c r="C50" s="246">
        <v>2</v>
      </c>
      <c r="D50" s="132" t="s">
        <v>275</v>
      </c>
    </row>
    <row r="51" spans="1:4" ht="16">
      <c r="A51" s="139" t="s">
        <v>386</v>
      </c>
      <c r="B51" s="133" t="s">
        <v>28</v>
      </c>
      <c r="C51" s="246">
        <v>27</v>
      </c>
      <c r="D51" s="132" t="s">
        <v>424</v>
      </c>
    </row>
    <row r="52" spans="1:4">
      <c r="A52" s="139"/>
      <c r="B52" s="133"/>
      <c r="C52" s="246"/>
      <c r="D52" s="131"/>
    </row>
    <row r="53" spans="1:4">
      <c r="A53" s="139"/>
      <c r="B53" s="133"/>
      <c r="C53" s="246"/>
      <c r="D53" s="131"/>
    </row>
    <row r="54" spans="1:4">
      <c r="A54" s="139" t="s">
        <v>386</v>
      </c>
      <c r="B54" s="186" t="s">
        <v>35</v>
      </c>
      <c r="C54" s="246"/>
      <c r="D54" s="131"/>
    </row>
    <row r="55" spans="1:4">
      <c r="A55" s="139" t="s">
        <v>386</v>
      </c>
      <c r="B55" s="133" t="s">
        <v>87</v>
      </c>
      <c r="C55" s="246"/>
      <c r="D55" s="131"/>
    </row>
    <row r="56" spans="1:4">
      <c r="A56" s="139" t="s">
        <v>386</v>
      </c>
      <c r="B56" s="133" t="s">
        <v>88</v>
      </c>
      <c r="C56" s="246"/>
      <c r="D56" s="131"/>
    </row>
    <row r="57" spans="1:4" ht="16">
      <c r="A57" s="139" t="s">
        <v>386</v>
      </c>
      <c r="B57" s="133" t="s">
        <v>383</v>
      </c>
      <c r="C57" s="246">
        <v>2</v>
      </c>
      <c r="D57" s="132" t="s">
        <v>275</v>
      </c>
    </row>
    <row r="58" spans="1:4" ht="16">
      <c r="A58" s="139" t="s">
        <v>386</v>
      </c>
      <c r="B58" s="133" t="s">
        <v>25</v>
      </c>
      <c r="C58" s="246">
        <v>3</v>
      </c>
      <c r="D58" s="132" t="s">
        <v>449</v>
      </c>
    </row>
    <row r="59" spans="1:4" ht="16">
      <c r="A59" s="139" t="s">
        <v>386</v>
      </c>
      <c r="B59" s="133" t="s">
        <v>385</v>
      </c>
      <c r="C59" s="246">
        <v>25</v>
      </c>
      <c r="D59" s="132" t="s">
        <v>451</v>
      </c>
    </row>
    <row r="60" spans="1:4" ht="16">
      <c r="A60" s="139" t="s">
        <v>386</v>
      </c>
      <c r="B60" s="133" t="s">
        <v>356</v>
      </c>
      <c r="C60" s="246">
        <v>2</v>
      </c>
      <c r="D60" s="132" t="s">
        <v>449</v>
      </c>
    </row>
    <row r="61" spans="1:4" ht="16">
      <c r="A61" s="139" t="s">
        <v>386</v>
      </c>
      <c r="B61" s="133" t="s">
        <v>353</v>
      </c>
      <c r="C61" s="246">
        <v>2</v>
      </c>
      <c r="D61" s="132" t="s">
        <v>275</v>
      </c>
    </row>
    <row r="62" spans="1:4" ht="16">
      <c r="A62" s="139" t="s">
        <v>386</v>
      </c>
      <c r="B62" s="133" t="s">
        <v>357</v>
      </c>
      <c r="C62" s="246">
        <v>0</v>
      </c>
      <c r="D62" s="132" t="s">
        <v>275</v>
      </c>
    </row>
    <row r="63" spans="1:4" ht="16">
      <c r="A63" s="139" t="s">
        <v>386</v>
      </c>
      <c r="B63" s="133" t="s">
        <v>358</v>
      </c>
      <c r="C63" s="246">
        <v>0</v>
      </c>
      <c r="D63" s="132" t="s">
        <v>275</v>
      </c>
    </row>
    <row r="64" spans="1:4" ht="16">
      <c r="A64" s="139" t="s">
        <v>386</v>
      </c>
      <c r="B64" s="133" t="s">
        <v>359</v>
      </c>
      <c r="C64" s="246">
        <v>0</v>
      </c>
      <c r="D64" s="132" t="s">
        <v>275</v>
      </c>
    </row>
    <row r="65" spans="1:4" ht="16">
      <c r="A65" s="139" t="s">
        <v>386</v>
      </c>
      <c r="B65" s="133" t="s">
        <v>28</v>
      </c>
      <c r="C65" s="246">
        <v>27</v>
      </c>
      <c r="D65" s="132" t="s">
        <v>424</v>
      </c>
    </row>
    <row r="66" spans="1:4">
      <c r="A66" s="139"/>
      <c r="B66" s="133"/>
      <c r="C66" s="246"/>
      <c r="D66" s="131"/>
    </row>
    <row r="67" spans="1:4">
      <c r="A67" s="139"/>
      <c r="B67" s="133"/>
      <c r="C67" s="246"/>
      <c r="D67" s="131"/>
    </row>
    <row r="68" spans="1:4">
      <c r="A68" s="139" t="s">
        <v>386</v>
      </c>
      <c r="B68" s="186" t="s">
        <v>50</v>
      </c>
      <c r="C68" s="246"/>
      <c r="D68" s="131"/>
    </row>
    <row r="69" spans="1:4">
      <c r="A69" s="139" t="s">
        <v>386</v>
      </c>
      <c r="B69" s="186" t="s">
        <v>220</v>
      </c>
      <c r="C69" s="246"/>
      <c r="D69" s="131"/>
    </row>
    <row r="70" spans="1:4">
      <c r="A70" s="139" t="s">
        <v>386</v>
      </c>
      <c r="B70" s="133" t="s">
        <v>225</v>
      </c>
      <c r="C70" s="246"/>
      <c r="D70" s="132"/>
    </row>
    <row r="71" spans="1:4" ht="16">
      <c r="A71" s="139" t="s">
        <v>386</v>
      </c>
      <c r="B71" s="133" t="s">
        <v>224</v>
      </c>
      <c r="C71" s="246">
        <v>1</v>
      </c>
      <c r="D71" s="132" t="s">
        <v>449</v>
      </c>
    </row>
    <row r="72" spans="1:4" ht="16">
      <c r="A72" s="139" t="s">
        <v>386</v>
      </c>
      <c r="B72" s="133" t="s">
        <v>223</v>
      </c>
      <c r="C72" s="246">
        <v>2</v>
      </c>
      <c r="D72" s="132" t="s">
        <v>449</v>
      </c>
    </row>
    <row r="73" spans="1:4" ht="16">
      <c r="A73" s="139" t="s">
        <v>386</v>
      </c>
      <c r="B73" s="133" t="s">
        <v>221</v>
      </c>
      <c r="C73" s="246">
        <v>2</v>
      </c>
      <c r="D73" s="132" t="s">
        <v>449</v>
      </c>
    </row>
    <row r="74" spans="1:4" ht="16">
      <c r="A74" s="139" t="s">
        <v>386</v>
      </c>
      <c r="B74" s="133" t="s">
        <v>222</v>
      </c>
      <c r="C74" s="246">
        <v>1</v>
      </c>
      <c r="D74" s="132" t="s">
        <v>449</v>
      </c>
    </row>
    <row r="75" spans="1:4" ht="16">
      <c r="A75" s="139" t="s">
        <v>386</v>
      </c>
      <c r="B75" s="133" t="s">
        <v>354</v>
      </c>
      <c r="C75" s="246">
        <f>nr_nat_staff_regional_m_s+nr_supp_staff_regional_m_s</f>
        <v>3</v>
      </c>
      <c r="D75" s="132" t="s">
        <v>275</v>
      </c>
    </row>
    <row r="76" spans="1:4" ht="16">
      <c r="A76" s="139" t="s">
        <v>386</v>
      </c>
      <c r="B76" s="133" t="s">
        <v>114</v>
      </c>
      <c r="C76" s="246">
        <v>0</v>
      </c>
      <c r="D76" s="132" t="s">
        <v>275</v>
      </c>
    </row>
    <row r="77" spans="1:4" ht="16">
      <c r="A77" s="139" t="s">
        <v>386</v>
      </c>
      <c r="B77" s="133" t="s">
        <v>250</v>
      </c>
      <c r="C77" s="141">
        <v>0.1</v>
      </c>
      <c r="D77" s="132" t="s">
        <v>275</v>
      </c>
    </row>
    <row r="78" spans="1:4">
      <c r="A78" s="139"/>
      <c r="B78" s="133"/>
      <c r="C78" s="246"/>
      <c r="D78" s="131"/>
    </row>
    <row r="79" spans="1:4">
      <c r="A79" s="139"/>
      <c r="B79" s="133"/>
      <c r="C79" s="246"/>
      <c r="D79" s="131"/>
    </row>
    <row r="80" spans="1:4">
      <c r="A80" s="139" t="s">
        <v>386</v>
      </c>
      <c r="B80" s="186" t="s">
        <v>252</v>
      </c>
      <c r="C80" s="246"/>
      <c r="D80" s="131"/>
    </row>
    <row r="81" spans="1:4">
      <c r="A81" s="139" t="s">
        <v>386</v>
      </c>
      <c r="B81" s="133" t="s">
        <v>45</v>
      </c>
      <c r="C81" s="246"/>
      <c r="D81" s="132"/>
    </row>
    <row r="82" spans="1:4" ht="16">
      <c r="A82" s="139" t="s">
        <v>386</v>
      </c>
      <c r="B82" s="133" t="s">
        <v>233</v>
      </c>
      <c r="C82" s="246">
        <v>0</v>
      </c>
      <c r="D82" s="132" t="s">
        <v>449</v>
      </c>
    </row>
    <row r="83" spans="1:4" ht="16">
      <c r="A83" s="139" t="s">
        <v>386</v>
      </c>
      <c r="B83" s="133" t="s">
        <v>223</v>
      </c>
      <c r="C83" s="246">
        <v>2</v>
      </c>
      <c r="D83" s="132" t="s">
        <v>449</v>
      </c>
    </row>
    <row r="84" spans="1:4" ht="16">
      <c r="A84" s="139" t="s">
        <v>386</v>
      </c>
      <c r="B84" s="133" t="s">
        <v>234</v>
      </c>
      <c r="C84" s="246">
        <v>2</v>
      </c>
      <c r="D84" s="132" t="s">
        <v>449</v>
      </c>
    </row>
    <row r="85" spans="1:4" ht="16">
      <c r="A85" s="139" t="s">
        <v>386</v>
      </c>
      <c r="B85" s="133" t="s">
        <v>222</v>
      </c>
      <c r="C85" s="246">
        <v>1</v>
      </c>
      <c r="D85" s="132" t="s">
        <v>449</v>
      </c>
    </row>
    <row r="86" spans="1:4" ht="16">
      <c r="A86" s="139" t="s">
        <v>386</v>
      </c>
      <c r="B86" s="133" t="s">
        <v>354</v>
      </c>
      <c r="C86" s="246">
        <f>nr_nat_staff_regional_m_s+nr_supp_staff_regional_m_s</f>
        <v>3</v>
      </c>
      <c r="D86" s="132" t="s">
        <v>275</v>
      </c>
    </row>
    <row r="87" spans="1:4" ht="16">
      <c r="A87" s="139" t="s">
        <v>386</v>
      </c>
      <c r="B87" s="133" t="s">
        <v>114</v>
      </c>
      <c r="C87" s="246">
        <v>0</v>
      </c>
      <c r="D87" s="132" t="s">
        <v>275</v>
      </c>
    </row>
    <row r="88" spans="1:4" ht="16">
      <c r="A88" s="139" t="s">
        <v>386</v>
      </c>
      <c r="B88" s="133" t="s">
        <v>250</v>
      </c>
      <c r="C88" s="141">
        <v>0.1</v>
      </c>
      <c r="D88" s="132" t="s">
        <v>275</v>
      </c>
    </row>
    <row r="89" spans="1:4">
      <c r="A89" s="139"/>
      <c r="B89" s="133"/>
      <c r="C89" s="246"/>
      <c r="D89" s="131"/>
    </row>
    <row r="90" spans="1:4">
      <c r="A90" s="139"/>
      <c r="B90" s="133"/>
      <c r="C90" s="246"/>
      <c r="D90" s="131"/>
    </row>
    <row r="91" spans="1:4">
      <c r="A91" s="139" t="s">
        <v>386</v>
      </c>
      <c r="B91" s="186" t="s">
        <v>253</v>
      </c>
      <c r="C91" s="246"/>
      <c r="D91" s="131"/>
    </row>
    <row r="92" spans="1:4">
      <c r="A92" s="139" t="s">
        <v>386</v>
      </c>
      <c r="B92" s="133" t="s">
        <v>45</v>
      </c>
      <c r="C92" s="246"/>
      <c r="D92" s="132"/>
    </row>
    <row r="93" spans="1:4">
      <c r="A93" s="139" t="s">
        <v>386</v>
      </c>
      <c r="B93" s="133" t="s">
        <v>46</v>
      </c>
      <c r="C93" s="246"/>
      <c r="D93" s="132"/>
    </row>
    <row r="94" spans="1:4" ht="16">
      <c r="A94" s="139" t="s">
        <v>386</v>
      </c>
      <c r="B94" s="133" t="s">
        <v>235</v>
      </c>
      <c r="C94" s="246">
        <v>4</v>
      </c>
      <c r="D94" s="132" t="s">
        <v>449</v>
      </c>
    </row>
    <row r="95" spans="1:4" ht="16">
      <c r="A95" s="139" t="s">
        <v>386</v>
      </c>
      <c r="B95" s="133" t="s">
        <v>104</v>
      </c>
      <c r="C95" s="246">
        <v>1</v>
      </c>
      <c r="D95" s="132" t="s">
        <v>449</v>
      </c>
    </row>
    <row r="96" spans="1:4" ht="16">
      <c r="A96" s="139" t="s">
        <v>386</v>
      </c>
      <c r="B96" s="133" t="s">
        <v>249</v>
      </c>
      <c r="C96" s="246">
        <v>2</v>
      </c>
      <c r="D96" s="132" t="s">
        <v>449</v>
      </c>
    </row>
    <row r="97" spans="1:4" ht="16">
      <c r="A97" s="139" t="s">
        <v>386</v>
      </c>
      <c r="B97" s="133" t="s">
        <v>222</v>
      </c>
      <c r="C97" s="246">
        <v>1</v>
      </c>
      <c r="D97" s="132" t="s">
        <v>449</v>
      </c>
    </row>
    <row r="98" spans="1:4" ht="16">
      <c r="A98" s="139" t="s">
        <v>386</v>
      </c>
      <c r="B98" s="133" t="s">
        <v>354</v>
      </c>
      <c r="C98" s="246">
        <f>nr_nat_staff_regional_m_s+nr_supp_staff_regional_m_s</f>
        <v>3</v>
      </c>
      <c r="D98" s="132" t="s">
        <v>275</v>
      </c>
    </row>
    <row r="99" spans="1:4" ht="16">
      <c r="A99" s="139" t="s">
        <v>386</v>
      </c>
      <c r="B99" s="133" t="s">
        <v>250</v>
      </c>
      <c r="C99" s="141">
        <v>0.1</v>
      </c>
      <c r="D99" s="132" t="s">
        <v>275</v>
      </c>
    </row>
    <row r="100" spans="1:4">
      <c r="A100" s="133"/>
      <c r="B100" s="133"/>
      <c r="C100" s="246"/>
      <c r="D100" s="131"/>
    </row>
    <row r="101" spans="1:4">
      <c r="A101" s="133"/>
      <c r="B101" s="133"/>
      <c r="C101" s="246"/>
      <c r="D101" s="131"/>
    </row>
    <row r="102" spans="1:4">
      <c r="A102" s="133"/>
      <c r="B102" s="133"/>
      <c r="C102" s="246"/>
      <c r="D102" s="131"/>
    </row>
    <row r="103" spans="1:4">
      <c r="A103" s="133"/>
      <c r="B103" s="133"/>
      <c r="C103" s="246"/>
      <c r="D103" s="131"/>
    </row>
    <row r="104" spans="1:4">
      <c r="A104" s="133"/>
      <c r="B104" s="133"/>
      <c r="C104" s="246"/>
      <c r="D104" s="131"/>
    </row>
    <row r="105" spans="1:4">
      <c r="A105" s="133"/>
      <c r="B105" s="133"/>
      <c r="C105" s="246"/>
      <c r="D105" s="131"/>
    </row>
    <row r="106" spans="1:4">
      <c r="A106" s="133"/>
      <c r="B106" s="133"/>
      <c r="C106" s="246"/>
      <c r="D106" s="131"/>
    </row>
    <row r="107" spans="1:4">
      <c r="A107" s="133"/>
      <c r="B107" s="133"/>
      <c r="C107" s="246"/>
      <c r="D107" s="131"/>
    </row>
    <row r="108" spans="1:4">
      <c r="A108" s="133"/>
      <c r="B108" s="133"/>
      <c r="C108" s="246"/>
      <c r="D108" s="131"/>
    </row>
    <row r="109" spans="1:4">
      <c r="A109" s="133"/>
      <c r="B109" s="133"/>
      <c r="C109" s="246"/>
      <c r="D109" s="131"/>
    </row>
    <row r="110" spans="1:4">
      <c r="A110" s="133"/>
      <c r="B110" s="133"/>
      <c r="C110" s="246"/>
      <c r="D110" s="131"/>
    </row>
    <row r="111" spans="1:4">
      <c r="A111" s="133"/>
      <c r="B111" s="133"/>
      <c r="C111" s="246"/>
      <c r="D111" s="131"/>
    </row>
    <row r="112" spans="1:4">
      <c r="A112" s="133"/>
      <c r="B112" s="133"/>
      <c r="C112" s="246"/>
      <c r="D112" s="131"/>
    </row>
    <row r="113" spans="1:4">
      <c r="A113" s="133"/>
      <c r="B113" s="133"/>
      <c r="C113" s="246"/>
      <c r="D113" s="131"/>
    </row>
    <row r="114" spans="1:4">
      <c r="A114" s="133"/>
      <c r="B114" s="133"/>
      <c r="C114" s="246"/>
      <c r="D114" s="131"/>
    </row>
    <row r="115" spans="1:4">
      <c r="A115" s="133"/>
      <c r="B115" s="133"/>
      <c r="C115" s="246"/>
      <c r="D115" s="131"/>
    </row>
    <row r="116" spans="1:4">
      <c r="A116" s="133"/>
      <c r="B116" s="133"/>
      <c r="C116" s="246"/>
      <c r="D116" s="131"/>
    </row>
    <row r="117" spans="1:4">
      <c r="A117" s="133"/>
      <c r="B117" s="133"/>
      <c r="C117" s="246"/>
      <c r="D117" s="131"/>
    </row>
    <row r="118" spans="1:4">
      <c r="A118" s="133"/>
      <c r="B118" s="133"/>
      <c r="C118" s="246"/>
      <c r="D118" s="131"/>
    </row>
    <row r="119" spans="1:4">
      <c r="A119" s="133"/>
      <c r="B119" s="133"/>
      <c r="C119" s="246"/>
      <c r="D119" s="131"/>
    </row>
    <row r="120" spans="1:4">
      <c r="A120" s="133"/>
      <c r="B120" s="133"/>
      <c r="C120" s="246"/>
      <c r="D120" s="131"/>
    </row>
    <row r="121" spans="1:4">
      <c r="A121" s="133"/>
      <c r="B121" s="133"/>
      <c r="C121" s="246"/>
      <c r="D121" s="131"/>
    </row>
    <row r="122" spans="1:4">
      <c r="A122" s="133"/>
      <c r="B122" s="133"/>
      <c r="C122" s="246"/>
      <c r="D122" s="131"/>
    </row>
    <row r="123" spans="1:4">
      <c r="A123" s="133"/>
      <c r="B123" s="133"/>
      <c r="C123" s="246"/>
      <c r="D123" s="131"/>
    </row>
    <row r="124" spans="1:4">
      <c r="A124" s="133"/>
      <c r="B124" s="133"/>
      <c r="C124" s="246"/>
      <c r="D124" s="131"/>
    </row>
    <row r="125" spans="1:4">
      <c r="A125" s="133"/>
      <c r="B125" s="133"/>
      <c r="C125" s="246"/>
      <c r="D125" s="131"/>
    </row>
    <row r="126" spans="1:4">
      <c r="A126" s="133"/>
      <c r="B126" s="133"/>
      <c r="C126" s="246"/>
      <c r="D126" s="131"/>
    </row>
    <row r="127" spans="1:4">
      <c r="A127" s="133"/>
      <c r="B127" s="133"/>
      <c r="C127" s="246"/>
      <c r="D127" s="131"/>
    </row>
    <row r="128" spans="1:4">
      <c r="A128" s="133"/>
      <c r="B128" s="133"/>
      <c r="C128" s="246"/>
      <c r="D128" s="131"/>
    </row>
    <row r="129" spans="1:4">
      <c r="A129" s="133"/>
      <c r="B129" s="133"/>
      <c r="C129" s="246"/>
      <c r="D129" s="131"/>
    </row>
    <row r="130" spans="1:4">
      <c r="A130" s="133"/>
      <c r="B130" s="133"/>
      <c r="C130" s="246"/>
      <c r="D130" s="131"/>
    </row>
    <row r="131" spans="1:4">
      <c r="A131" s="133"/>
      <c r="B131" s="133"/>
      <c r="C131" s="246"/>
      <c r="D131" s="131"/>
    </row>
    <row r="132" spans="1:4">
      <c r="A132" s="133"/>
      <c r="B132" s="133"/>
      <c r="C132" s="246"/>
      <c r="D132" s="131"/>
    </row>
    <row r="133" spans="1:4">
      <c r="A133" s="133"/>
      <c r="B133" s="133"/>
      <c r="C133" s="246"/>
      <c r="D133" s="131"/>
    </row>
    <row r="134" spans="1:4">
      <c r="A134" s="133"/>
      <c r="B134" s="133"/>
      <c r="C134" s="246"/>
      <c r="D134" s="131"/>
    </row>
    <row r="135" spans="1:4">
      <c r="A135" s="133"/>
      <c r="B135" s="133"/>
      <c r="C135" s="246"/>
      <c r="D135" s="131"/>
    </row>
    <row r="136" spans="1:4">
      <c r="A136" s="133"/>
      <c r="B136" s="133"/>
      <c r="C136" s="246"/>
      <c r="D136" s="131"/>
    </row>
    <row r="137" spans="1:4">
      <c r="A137" s="133"/>
      <c r="B137" s="133"/>
      <c r="C137" s="246"/>
      <c r="D137" s="131"/>
    </row>
    <row r="138" spans="1:4">
      <c r="A138" s="133"/>
      <c r="B138" s="133"/>
      <c r="C138" s="246"/>
      <c r="D138" s="131"/>
    </row>
    <row r="139" spans="1:4">
      <c r="A139" s="133"/>
      <c r="B139" s="133"/>
      <c r="C139" s="246"/>
      <c r="D139" s="131"/>
    </row>
    <row r="140" spans="1:4">
      <c r="A140" s="133"/>
      <c r="B140" s="133"/>
      <c r="C140" s="246"/>
      <c r="D140" s="131"/>
    </row>
    <row r="141" spans="1:4">
      <c r="A141" s="133"/>
      <c r="B141" s="133"/>
      <c r="C141" s="246"/>
      <c r="D141" s="131"/>
    </row>
    <row r="142" spans="1:4">
      <c r="A142" s="133"/>
      <c r="B142" s="133"/>
      <c r="C142" s="246"/>
      <c r="D142" s="131"/>
    </row>
    <row r="143" spans="1:4">
      <c r="A143" s="133"/>
      <c r="B143" s="133"/>
      <c r="C143" s="246"/>
      <c r="D143" s="131"/>
    </row>
    <row r="144" spans="1:4">
      <c r="A144" s="133"/>
      <c r="B144" s="133"/>
      <c r="C144" s="246"/>
      <c r="D144" s="131"/>
    </row>
    <row r="145" spans="1:4">
      <c r="A145" s="133"/>
      <c r="B145" s="133"/>
      <c r="C145" s="246"/>
      <c r="D145" s="131"/>
    </row>
    <row r="146" spans="1:4">
      <c r="A146" s="133"/>
      <c r="B146" s="133"/>
      <c r="C146" s="246"/>
      <c r="D146" s="131"/>
    </row>
    <row r="147" spans="1:4">
      <c r="A147" s="133"/>
      <c r="B147" s="133"/>
      <c r="C147" s="246"/>
      <c r="D147" s="131"/>
    </row>
    <row r="148" spans="1:4">
      <c r="A148" s="133"/>
      <c r="B148" s="133"/>
      <c r="C148" s="246"/>
      <c r="D148" s="131"/>
    </row>
    <row r="149" spans="1:4">
      <c r="A149" s="133"/>
      <c r="B149" s="133"/>
      <c r="C149" s="246"/>
      <c r="D149" s="131"/>
    </row>
    <row r="150" spans="1:4">
      <c r="A150" s="133"/>
      <c r="B150" s="133"/>
      <c r="C150" s="246"/>
      <c r="D150" s="131"/>
    </row>
    <row r="151" spans="1:4">
      <c r="A151" s="133"/>
      <c r="B151" s="133"/>
      <c r="C151" s="246"/>
      <c r="D151" s="131"/>
    </row>
    <row r="152" spans="1:4">
      <c r="A152" s="133"/>
      <c r="B152" s="133"/>
      <c r="C152" s="246"/>
      <c r="D152" s="131"/>
    </row>
    <row r="153" spans="1:4">
      <c r="A153" s="133"/>
      <c r="B153" s="133"/>
      <c r="C153" s="246"/>
      <c r="D153" s="131"/>
    </row>
    <row r="154" spans="1:4">
      <c r="A154" s="133"/>
      <c r="B154" s="133"/>
      <c r="C154" s="246"/>
      <c r="D154" s="131"/>
    </row>
    <row r="155" spans="1:4">
      <c r="A155" s="133"/>
      <c r="B155" s="133"/>
      <c r="C155" s="246"/>
      <c r="D155" s="131"/>
    </row>
    <row r="156" spans="1:4">
      <c r="A156" s="133"/>
      <c r="B156" s="133"/>
      <c r="C156" s="246"/>
      <c r="D156" s="131"/>
    </row>
    <row r="157" spans="1:4">
      <c r="A157" s="133"/>
      <c r="B157" s="133"/>
      <c r="C157" s="246"/>
      <c r="D157" s="131"/>
    </row>
    <row r="158" spans="1:4">
      <c r="A158" s="133"/>
      <c r="B158" s="133"/>
      <c r="C158" s="246"/>
      <c r="D158" s="131"/>
    </row>
    <row r="159" spans="1:4">
      <c r="A159" s="133"/>
      <c r="B159" s="133"/>
      <c r="C159" s="246"/>
      <c r="D159" s="131"/>
    </row>
    <row r="160" spans="1:4">
      <c r="A160" s="133"/>
      <c r="B160" s="133"/>
      <c r="C160" s="246"/>
      <c r="D160" s="131"/>
    </row>
    <row r="161" spans="1:4">
      <c r="A161" s="133"/>
      <c r="B161" s="133"/>
      <c r="C161" s="246"/>
      <c r="D161" s="131"/>
    </row>
    <row r="162" spans="1:4">
      <c r="A162" s="133"/>
      <c r="B162" s="133"/>
      <c r="C162" s="246"/>
      <c r="D162" s="131"/>
    </row>
    <row r="163" spans="1:4">
      <c r="A163" s="133"/>
      <c r="B163" s="133"/>
      <c r="C163" s="246"/>
      <c r="D163" s="131"/>
    </row>
    <row r="164" spans="1:4">
      <c r="A164" s="133"/>
      <c r="B164" s="133"/>
      <c r="C164" s="246"/>
      <c r="D164" s="131"/>
    </row>
    <row r="165" spans="1:4">
      <c r="A165" s="133"/>
      <c r="B165" s="133"/>
      <c r="C165" s="246"/>
      <c r="D165" s="131"/>
    </row>
    <row r="166" spans="1:4">
      <c r="A166" s="133"/>
      <c r="B166" s="133"/>
      <c r="C166" s="246"/>
      <c r="D166" s="131"/>
    </row>
    <row r="167" spans="1:4">
      <c r="A167" s="133"/>
      <c r="B167" s="133"/>
      <c r="C167" s="246"/>
      <c r="D167" s="131"/>
    </row>
    <row r="168" spans="1:4">
      <c r="A168" s="133"/>
      <c r="B168" s="133"/>
      <c r="C168" s="246"/>
      <c r="D168" s="131"/>
    </row>
    <row r="169" spans="1:4">
      <c r="A169" s="133"/>
      <c r="B169" s="133"/>
      <c r="C169" s="246"/>
      <c r="D169" s="131"/>
    </row>
    <row r="170" spans="1:4">
      <c r="A170" s="133"/>
      <c r="B170" s="133"/>
      <c r="C170" s="246"/>
      <c r="D170" s="131"/>
    </row>
    <row r="171" spans="1:4">
      <c r="A171" s="133"/>
      <c r="B171" s="133"/>
      <c r="C171" s="246"/>
      <c r="D171" s="131"/>
    </row>
    <row r="172" spans="1:4">
      <c r="A172" s="133"/>
      <c r="B172" s="133"/>
      <c r="C172" s="246"/>
      <c r="D172" s="131"/>
    </row>
    <row r="173" spans="1:4">
      <c r="A173" s="133"/>
      <c r="B173" s="133"/>
      <c r="C173" s="246"/>
      <c r="D173" s="131"/>
    </row>
    <row r="174" spans="1:4">
      <c r="A174" s="133"/>
      <c r="B174" s="133"/>
      <c r="C174" s="246"/>
      <c r="D174" s="131"/>
    </row>
    <row r="175" spans="1:4">
      <c r="A175" s="133"/>
      <c r="B175" s="133"/>
      <c r="C175" s="246"/>
      <c r="D175" s="131"/>
    </row>
    <row r="176" spans="1:4">
      <c r="A176" s="133"/>
      <c r="B176" s="133"/>
      <c r="C176" s="246"/>
      <c r="D176" s="131"/>
    </row>
    <row r="177" spans="1:4">
      <c r="A177" s="133"/>
      <c r="B177" s="133"/>
      <c r="C177" s="246"/>
      <c r="D177" s="131"/>
    </row>
    <row r="178" spans="1:4">
      <c r="A178" s="133"/>
      <c r="B178" s="133"/>
      <c r="C178" s="246"/>
      <c r="D178" s="131"/>
    </row>
    <row r="179" spans="1:4">
      <c r="A179" s="133"/>
      <c r="B179" s="133"/>
      <c r="C179" s="246"/>
      <c r="D179" s="131"/>
    </row>
    <row r="180" spans="1:4">
      <c r="A180" s="133"/>
      <c r="B180" s="133"/>
      <c r="C180" s="246"/>
      <c r="D180" s="131"/>
    </row>
    <row r="181" spans="1:4">
      <c r="A181" s="133"/>
      <c r="B181" s="133"/>
      <c r="C181" s="246"/>
      <c r="D181" s="131"/>
    </row>
    <row r="182" spans="1:4">
      <c r="A182" s="133"/>
      <c r="B182" s="133"/>
      <c r="C182" s="246"/>
      <c r="D182" s="131"/>
    </row>
    <row r="183" spans="1:4">
      <c r="A183" s="133"/>
      <c r="B183" s="133"/>
      <c r="C183" s="246"/>
      <c r="D183" s="131"/>
    </row>
    <row r="184" spans="1:4">
      <c r="A184" s="133"/>
      <c r="B184" s="133"/>
      <c r="C184" s="246"/>
      <c r="D184" s="131"/>
    </row>
    <row r="185" spans="1:4">
      <c r="A185" s="133"/>
      <c r="B185" s="133"/>
      <c r="C185" s="246"/>
      <c r="D185" s="131"/>
    </row>
    <row r="186" spans="1:4">
      <c r="A186" s="133"/>
      <c r="B186" s="133"/>
      <c r="C186" s="246"/>
      <c r="D186" s="131"/>
    </row>
    <row r="187" spans="1:4">
      <c r="A187" s="133"/>
      <c r="B187" s="133"/>
      <c r="C187" s="246"/>
      <c r="D187" s="131"/>
    </row>
    <row r="188" spans="1:4">
      <c r="A188" s="133"/>
      <c r="B188" s="133"/>
      <c r="C188" s="246"/>
      <c r="D188" s="131"/>
    </row>
    <row r="189" spans="1:4">
      <c r="A189" s="133"/>
      <c r="B189" s="133"/>
      <c r="C189" s="246"/>
      <c r="D189" s="131"/>
    </row>
    <row r="190" spans="1:4">
      <c r="A190" s="133"/>
      <c r="B190" s="133"/>
      <c r="C190" s="246"/>
      <c r="D190" s="131"/>
    </row>
    <row r="191" spans="1:4">
      <c r="A191" s="133"/>
      <c r="B191" s="133"/>
      <c r="C191" s="246"/>
      <c r="D191" s="131"/>
    </row>
    <row r="192" spans="1:4">
      <c r="A192" s="133"/>
      <c r="B192" s="133"/>
      <c r="C192" s="246"/>
      <c r="D192" s="131"/>
    </row>
    <row r="193" spans="1:4">
      <c r="A193" s="133"/>
      <c r="B193" s="133"/>
      <c r="C193" s="246"/>
      <c r="D193" s="131"/>
    </row>
    <row r="194" spans="1:4">
      <c r="A194" s="133"/>
      <c r="B194" s="133"/>
      <c r="C194" s="246"/>
      <c r="D194" s="131"/>
    </row>
    <row r="195" spans="1:4">
      <c r="A195" s="133"/>
      <c r="B195" s="133"/>
      <c r="C195" s="246"/>
      <c r="D195" s="131"/>
    </row>
    <row r="196" spans="1:4">
      <c r="A196" s="133"/>
      <c r="B196" s="133"/>
      <c r="C196" s="246"/>
      <c r="D196" s="131"/>
    </row>
    <row r="197" spans="1:4">
      <c r="A197" s="133"/>
      <c r="B197" s="133"/>
      <c r="C197" s="246"/>
      <c r="D197" s="131"/>
    </row>
    <row r="198" spans="1:4">
      <c r="A198" s="133"/>
      <c r="B198" s="133"/>
      <c r="C198" s="246"/>
      <c r="D198" s="131"/>
    </row>
    <row r="199" spans="1:4">
      <c r="A199" s="133"/>
      <c r="B199" s="133"/>
      <c r="C199" s="246"/>
      <c r="D199" s="131"/>
    </row>
    <row r="200" spans="1:4">
      <c r="A200" s="133"/>
      <c r="B200" s="133"/>
      <c r="C200" s="246"/>
      <c r="D200" s="131"/>
    </row>
    <row r="201" spans="1:4">
      <c r="A201" s="133"/>
      <c r="B201" s="133"/>
      <c r="C201" s="246"/>
      <c r="D201" s="13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7"/>
  <sheetViews>
    <sheetView showGridLines="0" workbookViewId="0">
      <selection activeCell="N26" sqref="N26"/>
    </sheetView>
  </sheetViews>
  <sheetFormatPr baseColWidth="10" defaultColWidth="8.83203125" defaultRowHeight="15"/>
  <sheetData>
    <row r="1" spans="1:21" s="144" customFormat="1" ht="19">
      <c r="A1" s="251" t="s">
        <v>22</v>
      </c>
      <c r="B1" s="251"/>
      <c r="C1" s="251"/>
      <c r="D1" s="251"/>
      <c r="E1" s="251"/>
      <c r="F1" s="251"/>
      <c r="G1" s="251"/>
      <c r="H1" s="251"/>
      <c r="I1" s="251"/>
      <c r="J1" s="251"/>
      <c r="K1" s="251"/>
      <c r="L1" s="251"/>
      <c r="M1" s="251"/>
      <c r="N1" s="251"/>
      <c r="O1" s="251"/>
      <c r="P1" s="251"/>
      <c r="Q1" s="251"/>
      <c r="R1" s="251"/>
      <c r="S1" s="251"/>
      <c r="T1" s="251"/>
      <c r="U1" s="251"/>
    </row>
    <row r="2" spans="1:21" s="18" customFormat="1" ht="19">
      <c r="A2" s="252" t="s">
        <v>330</v>
      </c>
      <c r="B2" s="252"/>
      <c r="C2" s="252"/>
      <c r="D2" s="252"/>
      <c r="E2" s="252"/>
      <c r="F2" s="252"/>
      <c r="G2" s="252"/>
      <c r="H2" s="252"/>
      <c r="I2" s="252"/>
      <c r="J2" s="252"/>
      <c r="K2" s="252"/>
      <c r="L2" s="252"/>
      <c r="M2" s="252"/>
      <c r="N2" s="252"/>
      <c r="O2" s="252"/>
      <c r="P2" s="252"/>
      <c r="Q2" s="252"/>
      <c r="R2" s="252"/>
      <c r="S2" s="252"/>
      <c r="T2" s="252"/>
      <c r="U2" s="252"/>
    </row>
    <row r="6" spans="1:21">
      <c r="E6" s="35" t="s">
        <v>411</v>
      </c>
    </row>
    <row r="7" spans="1:21">
      <c r="E7" s="35" t="s">
        <v>420</v>
      </c>
    </row>
    <row r="8" spans="1:21">
      <c r="E8" s="35" t="s">
        <v>421</v>
      </c>
    </row>
    <row r="9" spans="1:21">
      <c r="E9" s="35" t="s">
        <v>412</v>
      </c>
    </row>
    <row r="10" spans="1:21">
      <c r="E10" s="35" t="s">
        <v>413</v>
      </c>
    </row>
    <row r="11" spans="1:21">
      <c r="E11" s="35" t="s">
        <v>414</v>
      </c>
    </row>
    <row r="12" spans="1:21">
      <c r="E12" s="35" t="s">
        <v>415</v>
      </c>
    </row>
    <row r="13" spans="1:21">
      <c r="E13" s="35" t="s">
        <v>416</v>
      </c>
    </row>
    <row r="14" spans="1:21">
      <c r="E14" s="35" t="s">
        <v>417</v>
      </c>
    </row>
    <row r="15" spans="1:21">
      <c r="E15" s="35" t="s">
        <v>418</v>
      </c>
      <c r="F15" s="34"/>
      <c r="G15" s="34"/>
      <c r="H15" s="34"/>
      <c r="I15" s="34"/>
      <c r="J15" s="34"/>
      <c r="K15" s="34"/>
    </row>
    <row r="16" spans="1:21">
      <c r="E16" s="63" t="s">
        <v>419</v>
      </c>
    </row>
    <row r="17" spans="5:5">
      <c r="E17" s="35"/>
    </row>
  </sheetData>
  <mergeCells count="2">
    <mergeCell ref="A1:U1"/>
    <mergeCell ref="A2:U2"/>
  </mergeCells>
  <hyperlinks>
    <hyperlink ref="E8" location="'3. Guide'!A1" display="3. Guide" xr:uid="{00000000-0004-0000-0100-000000000000}"/>
    <hyperlink ref="E9" location="'4. Parameters'!A1" display="4. Parameters" xr:uid="{00000000-0004-0000-0100-000001000000}"/>
    <hyperlink ref="E10" location="'5. Unit costs'!A1" display="5. Unit costs" xr:uid="{00000000-0004-0000-0100-000002000000}"/>
    <hyperlink ref="E11" location="'6. Training materials'!A1" display="6. Development of pediatric TB training material" xr:uid="{00000000-0004-0000-0100-000003000000}"/>
    <hyperlink ref="E12" location="'7. Training programme'!A1" display="7. Pediatric TB Training Programme" xr:uid="{00000000-0004-0000-0100-000004000000}"/>
    <hyperlink ref="E13" location="'8.Site mentorship &amp; supervision'!A1" display="8. Site mentorship and supervision" xr:uid="{00000000-0004-0000-0100-000005000000}"/>
    <hyperlink ref="E14" location="'9. Results Summary'!A1" display="9. Results summary" xr:uid="{00000000-0004-0000-0100-000006000000}"/>
    <hyperlink ref="E15" location="'10. Notes &amp; Assumptions'!A1" display="10. Notes &amp; Assumptions" xr:uid="{00000000-0004-0000-0100-000007000000}"/>
    <hyperlink ref="E16" location="'11. References'!A1" display="11. References" xr:uid="{00000000-0004-0000-0100-000008000000}"/>
    <hyperlink ref="E7" location="'2. Menu'!A1" display="2. Menu" xr:uid="{00000000-0004-0000-0100-000009000000}"/>
    <hyperlink ref="E6" location="'1. Title page'!A1" display="1. Title page" xr:uid="{00000000-0004-0000-0100-00000A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44"/>
  <sheetViews>
    <sheetView showGridLines="0" workbookViewId="0">
      <selection activeCell="P36" sqref="P36"/>
    </sheetView>
  </sheetViews>
  <sheetFormatPr baseColWidth="10" defaultColWidth="9.1640625" defaultRowHeight="15"/>
  <cols>
    <col min="1" max="1" width="2.83203125" style="1" customWidth="1"/>
    <col min="2" max="3" width="9.1640625" style="1"/>
    <col min="4" max="4" width="21" style="1" customWidth="1"/>
    <col min="5" max="16384" width="9.1640625" style="1"/>
  </cols>
  <sheetData>
    <row r="1" spans="1:19" ht="20" thickBot="1">
      <c r="A1" s="253" t="s">
        <v>0</v>
      </c>
      <c r="B1" s="254"/>
      <c r="C1" s="254"/>
      <c r="D1" s="254"/>
      <c r="E1" s="254"/>
      <c r="F1" s="254"/>
      <c r="G1" s="254"/>
      <c r="H1" s="254"/>
      <c r="I1" s="254"/>
      <c r="J1" s="254"/>
      <c r="K1" s="254"/>
      <c r="L1" s="254"/>
      <c r="M1" s="254"/>
      <c r="N1" s="254"/>
      <c r="O1" s="254"/>
      <c r="P1" s="254"/>
      <c r="Q1" s="254"/>
      <c r="R1" s="254"/>
      <c r="S1" s="255"/>
    </row>
    <row r="2" spans="1:19" ht="19">
      <c r="A2" s="2" t="s">
        <v>331</v>
      </c>
      <c r="B2" s="3"/>
      <c r="C2" s="3"/>
      <c r="D2" s="3"/>
      <c r="E2" s="3"/>
      <c r="F2" s="3"/>
    </row>
    <row r="5" spans="1:19">
      <c r="A5" s="4">
        <v>1</v>
      </c>
      <c r="B5" s="4" t="s">
        <v>1</v>
      </c>
      <c r="C5" s="5"/>
      <c r="D5" s="5"/>
      <c r="E5" s="5"/>
      <c r="F5" s="5"/>
      <c r="G5" s="5"/>
      <c r="H5" s="5"/>
      <c r="I5" s="5"/>
      <c r="J5" s="5"/>
      <c r="K5" s="5"/>
      <c r="L5" s="5"/>
      <c r="M5" s="5"/>
      <c r="N5" s="5"/>
      <c r="O5" s="5"/>
      <c r="P5" s="5"/>
      <c r="Q5" s="5"/>
      <c r="R5" s="5"/>
      <c r="S5" s="5"/>
    </row>
    <row r="6" spans="1:19">
      <c r="B6" s="1" t="s">
        <v>361</v>
      </c>
      <c r="E6" s="6"/>
      <c r="F6" s="7" t="s">
        <v>360</v>
      </c>
    </row>
    <row r="7" spans="1:19" ht="16">
      <c r="B7" s="115" t="s">
        <v>362</v>
      </c>
      <c r="C7" s="115"/>
      <c r="D7" s="115"/>
      <c r="E7" s="116"/>
      <c r="F7" s="117"/>
      <c r="G7" s="118"/>
      <c r="H7" s="117"/>
      <c r="I7" s="117"/>
      <c r="J7" s="117"/>
      <c r="K7" s="117"/>
      <c r="L7" s="117"/>
      <c r="M7" s="117"/>
      <c r="N7" s="117"/>
      <c r="O7" s="117"/>
      <c r="P7" s="117"/>
      <c r="Q7" s="117"/>
      <c r="R7" s="117"/>
      <c r="S7" s="117"/>
    </row>
    <row r="8" spans="1:19">
      <c r="B8" s="119" t="s">
        <v>332</v>
      </c>
      <c r="C8" s="120"/>
      <c r="D8" s="120"/>
      <c r="E8" s="120"/>
      <c r="F8" s="120"/>
      <c r="G8" s="120"/>
      <c r="H8" s="120"/>
      <c r="I8" s="120"/>
      <c r="J8" s="120"/>
      <c r="K8" s="120"/>
      <c r="L8" s="120"/>
      <c r="M8" s="120"/>
      <c r="N8" s="120"/>
      <c r="O8" s="120"/>
      <c r="P8" s="120"/>
      <c r="Q8" s="120"/>
      <c r="R8" s="120"/>
      <c r="S8" s="120"/>
    </row>
    <row r="11" spans="1:19" ht="16" thickBot="1">
      <c r="B11" s="8" t="s">
        <v>2</v>
      </c>
      <c r="C11" s="8"/>
      <c r="D11" s="8"/>
      <c r="E11" s="8" t="s">
        <v>3</v>
      </c>
      <c r="F11" s="8"/>
      <c r="G11" s="8" t="s">
        <v>4</v>
      </c>
      <c r="H11" s="8"/>
    </row>
    <row r="12" spans="1:19" ht="16" thickBot="1">
      <c r="B12" s="9" t="s">
        <v>5</v>
      </c>
      <c r="C12" s="10"/>
      <c r="D12" s="10"/>
      <c r="E12" s="10"/>
      <c r="F12" s="10"/>
      <c r="G12" s="10"/>
      <c r="H12" s="10"/>
      <c r="I12" s="10"/>
      <c r="J12" s="10"/>
      <c r="K12" s="10"/>
      <c r="L12" s="10"/>
      <c r="M12" s="10"/>
      <c r="N12" s="10"/>
      <c r="O12" s="10"/>
      <c r="P12" s="10"/>
      <c r="Q12" s="10"/>
      <c r="R12" s="10"/>
      <c r="S12" s="11"/>
    </row>
    <row r="13" spans="1:19">
      <c r="B13" s="1" t="s">
        <v>386</v>
      </c>
      <c r="E13" s="12" t="s">
        <v>7</v>
      </c>
      <c r="G13" s="1" t="s">
        <v>363</v>
      </c>
    </row>
    <row r="14" spans="1:19">
      <c r="B14" s="1" t="s">
        <v>23</v>
      </c>
      <c r="E14" s="12" t="s">
        <v>7</v>
      </c>
      <c r="G14" s="1" t="s">
        <v>364</v>
      </c>
    </row>
    <row r="15" spans="1:19">
      <c r="C15" s="7" t="s">
        <v>8</v>
      </c>
      <c r="E15" s="12"/>
    </row>
    <row r="16" spans="1:19" ht="16" thickBot="1">
      <c r="E16" s="12"/>
    </row>
    <row r="17" spans="1:19" ht="16" thickBot="1">
      <c r="B17" s="121" t="s">
        <v>365</v>
      </c>
      <c r="C17" s="122"/>
      <c r="D17" s="122"/>
      <c r="E17" s="123"/>
      <c r="F17" s="122"/>
      <c r="G17" s="122"/>
      <c r="H17" s="122"/>
      <c r="I17" s="122"/>
      <c r="J17" s="122"/>
      <c r="K17" s="122"/>
      <c r="L17" s="122"/>
      <c r="M17" s="122"/>
      <c r="N17" s="122"/>
      <c r="O17" s="122"/>
      <c r="P17" s="122"/>
      <c r="Q17" s="122"/>
      <c r="R17" s="122"/>
      <c r="S17" s="124"/>
    </row>
    <row r="18" spans="1:19">
      <c r="B18" s="1" t="s">
        <v>327</v>
      </c>
      <c r="E18" s="12" t="s">
        <v>10</v>
      </c>
      <c r="G18" t="s">
        <v>366</v>
      </c>
    </row>
    <row r="19" spans="1:19">
      <c r="B19" s="1" t="s">
        <v>328</v>
      </c>
      <c r="E19" s="12" t="s">
        <v>10</v>
      </c>
      <c r="G19" t="s">
        <v>367</v>
      </c>
    </row>
    <row r="20" spans="1:19">
      <c r="B20" s="1" t="s">
        <v>329</v>
      </c>
      <c r="E20" s="12" t="s">
        <v>10</v>
      </c>
      <c r="G20" t="s">
        <v>368</v>
      </c>
    </row>
    <row r="21" spans="1:19">
      <c r="E21" s="12"/>
      <c r="G21"/>
    </row>
    <row r="22" spans="1:19">
      <c r="B22" s="126" t="s">
        <v>9</v>
      </c>
      <c r="C22" s="120"/>
      <c r="D22" s="120"/>
      <c r="E22" s="125"/>
      <c r="F22" s="120"/>
      <c r="G22" s="120"/>
      <c r="H22" s="120"/>
      <c r="I22" s="120"/>
      <c r="J22" s="120"/>
      <c r="K22" s="120"/>
      <c r="L22" s="120"/>
      <c r="M22" s="120"/>
      <c r="N22" s="120"/>
      <c r="O22" s="120"/>
      <c r="P22" s="120"/>
      <c r="Q22" s="120"/>
      <c r="R22" s="120"/>
      <c r="S22" s="120"/>
    </row>
    <row r="23" spans="1:19">
      <c r="B23" s="1" t="s">
        <v>422</v>
      </c>
      <c r="E23" s="12" t="s">
        <v>10</v>
      </c>
      <c r="G23" s="1" t="s">
        <v>369</v>
      </c>
    </row>
    <row r="24" spans="1:19" ht="16" thickBot="1">
      <c r="E24" s="12"/>
    </row>
    <row r="25" spans="1:19" ht="16" thickBot="1">
      <c r="B25" s="13" t="s">
        <v>11</v>
      </c>
      <c r="C25" s="14"/>
      <c r="D25" s="14"/>
      <c r="E25" s="15"/>
      <c r="F25" s="14"/>
      <c r="G25" s="14"/>
      <c r="H25" s="14"/>
      <c r="I25" s="14"/>
      <c r="J25" s="14"/>
      <c r="K25" s="14"/>
      <c r="L25" s="14"/>
      <c r="M25" s="14"/>
      <c r="N25" s="14"/>
      <c r="O25" s="14"/>
      <c r="P25" s="14"/>
      <c r="Q25" s="14"/>
      <c r="R25" s="16"/>
      <c r="S25" s="17"/>
    </row>
    <row r="26" spans="1:19">
      <c r="B26" s="1" t="s">
        <v>12</v>
      </c>
      <c r="E26" s="12" t="s">
        <v>10</v>
      </c>
      <c r="G26" s="1" t="s">
        <v>13</v>
      </c>
    </row>
    <row r="27" spans="1:19">
      <c r="B27" s="18" t="s">
        <v>14</v>
      </c>
      <c r="E27" s="12" t="s">
        <v>10</v>
      </c>
      <c r="G27" s="18" t="s">
        <v>15</v>
      </c>
    </row>
    <row r="28" spans="1:19">
      <c r="B28" s="18"/>
      <c r="E28" s="12"/>
      <c r="G28" s="18"/>
    </row>
    <row r="29" spans="1:19">
      <c r="B29" s="153" t="s">
        <v>371</v>
      </c>
      <c r="E29" s="12"/>
      <c r="G29" s="18"/>
    </row>
    <row r="30" spans="1:19" ht="15" customHeight="1">
      <c r="B30" s="129" t="s">
        <v>370</v>
      </c>
      <c r="C30" s="129"/>
      <c r="D30" s="129"/>
      <c r="E30" s="129"/>
    </row>
    <row r="31" spans="1:19">
      <c r="B31" s="127"/>
      <c r="C31" s="128"/>
      <c r="D31" s="128"/>
      <c r="E31" s="128"/>
    </row>
    <row r="32" spans="1:19">
      <c r="A32" s="4">
        <v>2</v>
      </c>
      <c r="B32" s="4" t="s">
        <v>16</v>
      </c>
      <c r="C32" s="5"/>
      <c r="D32" s="5"/>
      <c r="E32" s="5"/>
      <c r="F32" s="5"/>
      <c r="G32" s="5"/>
      <c r="H32" s="5"/>
      <c r="I32" s="5"/>
      <c r="J32" s="5"/>
      <c r="K32" s="5"/>
      <c r="L32" s="5"/>
      <c r="M32" s="5"/>
      <c r="N32" s="5"/>
      <c r="O32" s="5"/>
      <c r="P32" s="5"/>
      <c r="Q32" s="5"/>
      <c r="R32" s="5"/>
      <c r="S32" s="5"/>
    </row>
    <row r="33" spans="1:19">
      <c r="B33" s="19" t="s">
        <v>429</v>
      </c>
      <c r="C33" s="20" t="s">
        <v>435</v>
      </c>
      <c r="D33" s="21"/>
      <c r="E33" s="21"/>
      <c r="F33" s="21"/>
      <c r="G33" s="21"/>
      <c r="H33" s="21"/>
      <c r="I33" s="21"/>
      <c r="J33" s="21"/>
      <c r="K33" s="21"/>
      <c r="L33" s="22"/>
    </row>
    <row r="34" spans="1:19">
      <c r="B34" s="19" t="s">
        <v>430</v>
      </c>
      <c r="C34" s="23" t="s">
        <v>436</v>
      </c>
      <c r="D34" s="21"/>
      <c r="E34" s="21"/>
      <c r="F34" s="21"/>
      <c r="G34" s="21"/>
      <c r="H34" s="21"/>
      <c r="I34" s="21"/>
      <c r="J34" s="21"/>
      <c r="K34" s="21"/>
      <c r="L34" s="22"/>
    </row>
    <row r="35" spans="1:19">
      <c r="B35" s="19" t="s">
        <v>431</v>
      </c>
      <c r="C35" s="23" t="s">
        <v>437</v>
      </c>
      <c r="D35" s="21"/>
      <c r="E35" s="21"/>
      <c r="F35" s="21"/>
      <c r="G35" s="21"/>
      <c r="H35" s="21"/>
      <c r="I35" s="21"/>
      <c r="J35" s="21"/>
      <c r="K35" s="21"/>
      <c r="L35" s="22"/>
    </row>
    <row r="36" spans="1:19">
      <c r="B36" s="19" t="s">
        <v>432</v>
      </c>
      <c r="C36" s="23" t="s">
        <v>438</v>
      </c>
      <c r="D36" s="21"/>
      <c r="E36" s="21"/>
      <c r="F36" s="21"/>
      <c r="G36" s="21"/>
      <c r="H36" s="21"/>
      <c r="I36" s="21"/>
      <c r="J36" s="21"/>
      <c r="K36" s="21"/>
      <c r="L36" s="22"/>
    </row>
    <row r="37" spans="1:19">
      <c r="B37" s="19" t="s">
        <v>433</v>
      </c>
      <c r="C37" s="23" t="s">
        <v>439</v>
      </c>
      <c r="D37" s="21"/>
      <c r="E37" s="21"/>
      <c r="F37" s="21"/>
      <c r="G37" s="21"/>
      <c r="H37" s="21"/>
      <c r="I37" s="21"/>
      <c r="J37" s="21"/>
      <c r="K37" s="21"/>
      <c r="L37" s="22"/>
    </row>
    <row r="38" spans="1:19">
      <c r="B38" s="19" t="s">
        <v>434</v>
      </c>
      <c r="C38" s="23" t="s">
        <v>440</v>
      </c>
      <c r="D38" s="21"/>
      <c r="E38" s="21"/>
      <c r="F38" s="21"/>
      <c r="G38" s="21"/>
      <c r="H38" s="21"/>
      <c r="I38" s="21"/>
      <c r="J38" s="21"/>
      <c r="K38" s="21"/>
      <c r="L38" s="22"/>
    </row>
    <row r="39" spans="1:19">
      <c r="B39" s="19" t="s">
        <v>40</v>
      </c>
      <c r="C39" s="23" t="s">
        <v>441</v>
      </c>
      <c r="D39" s="21"/>
      <c r="E39" s="21"/>
      <c r="F39" s="21"/>
      <c r="G39" s="21"/>
      <c r="H39" s="21"/>
      <c r="I39" s="21"/>
      <c r="J39" s="21"/>
      <c r="K39" s="21"/>
      <c r="L39" s="22"/>
    </row>
    <row r="40" spans="1:19">
      <c r="B40" s="19"/>
      <c r="C40" s="23"/>
      <c r="D40" s="21"/>
      <c r="E40" s="21"/>
      <c r="F40" s="21"/>
      <c r="G40" s="21"/>
      <c r="H40" s="21"/>
      <c r="I40" s="21"/>
      <c r="J40" s="21"/>
      <c r="K40" s="21"/>
      <c r="L40" s="22"/>
    </row>
    <row r="41" spans="1:19">
      <c r="B41" s="19"/>
      <c r="C41" s="23"/>
      <c r="D41" s="21"/>
      <c r="E41" s="21"/>
      <c r="F41" s="21"/>
      <c r="G41" s="21"/>
      <c r="H41" s="21"/>
      <c r="I41" s="21"/>
      <c r="J41" s="21"/>
      <c r="K41" s="21"/>
      <c r="L41" s="22"/>
    </row>
    <row r="43" spans="1:19">
      <c r="A43" s="4">
        <v>3</v>
      </c>
      <c r="B43" s="4" t="s">
        <v>17</v>
      </c>
      <c r="C43" s="5"/>
      <c r="D43" s="5"/>
      <c r="E43" s="5"/>
      <c r="F43" s="5"/>
      <c r="G43" s="5"/>
      <c r="H43" s="5"/>
      <c r="I43" s="5"/>
      <c r="J43" s="5"/>
      <c r="K43" s="5"/>
      <c r="L43" s="5"/>
      <c r="M43" s="5"/>
      <c r="N43" s="5"/>
      <c r="O43" s="5"/>
      <c r="P43" s="5"/>
      <c r="Q43" s="5"/>
      <c r="R43" s="5"/>
      <c r="S43" s="5"/>
    </row>
    <row r="44" spans="1:19" ht="38.25" customHeight="1">
      <c r="B44" s="256" t="s">
        <v>51</v>
      </c>
      <c r="C44" s="256"/>
      <c r="D44" s="256"/>
      <c r="E44" s="256"/>
      <c r="F44" s="256"/>
      <c r="G44" s="256"/>
      <c r="H44" s="256"/>
      <c r="I44" s="256"/>
      <c r="J44" s="256"/>
      <c r="K44" s="256"/>
      <c r="L44" s="256"/>
      <c r="M44" s="256"/>
      <c r="N44" s="256"/>
      <c r="O44" s="256"/>
      <c r="P44" s="256"/>
      <c r="Q44" s="256"/>
      <c r="R44" s="256"/>
      <c r="S44" s="256"/>
    </row>
  </sheetData>
  <mergeCells count="2">
    <mergeCell ref="A1:S1"/>
    <mergeCell ref="B44:S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T114"/>
  <sheetViews>
    <sheetView showGridLines="0" topLeftCell="A7" zoomScale="80" zoomScaleNormal="80" workbookViewId="0">
      <selection activeCell="G33" sqref="G33"/>
    </sheetView>
  </sheetViews>
  <sheetFormatPr baseColWidth="10" defaultColWidth="9.1640625" defaultRowHeight="16"/>
  <cols>
    <col min="1" max="1" width="77.6640625" style="159" customWidth="1"/>
    <col min="2" max="2" width="29.83203125" style="160" customWidth="1"/>
    <col min="3" max="3" width="7.5" style="158" bestFit="1" customWidth="1"/>
    <col min="4" max="5" width="8" style="158" bestFit="1" customWidth="1"/>
    <col min="6" max="6" width="7" style="158" bestFit="1" customWidth="1"/>
    <col min="7" max="7" width="8.1640625" style="158" bestFit="1" customWidth="1"/>
    <col min="8" max="12" width="7" style="158" bestFit="1" customWidth="1"/>
    <col min="13" max="13" width="0" style="158" hidden="1" customWidth="1"/>
    <col min="14" max="14" width="120.33203125" style="158" customWidth="1"/>
    <col min="15" max="16384" width="9.1640625" style="158"/>
  </cols>
  <sheetData>
    <row r="1" spans="1:20" s="146" customFormat="1" ht="19">
      <c r="A1" s="145" t="s">
        <v>387</v>
      </c>
      <c r="B1" s="145"/>
      <c r="C1" s="145"/>
      <c r="D1" s="145"/>
      <c r="E1" s="145"/>
      <c r="F1" s="145"/>
      <c r="G1" s="145"/>
      <c r="H1" s="145"/>
      <c r="I1" s="145"/>
      <c r="J1" s="145"/>
      <c r="K1" s="145"/>
      <c r="L1" s="145"/>
      <c r="M1" s="145"/>
      <c r="N1" s="145"/>
      <c r="O1" s="145"/>
      <c r="P1" s="145"/>
      <c r="Q1" s="145"/>
      <c r="R1" s="145"/>
      <c r="S1" s="145"/>
      <c r="T1" s="145"/>
    </row>
    <row r="2" spans="1:20" ht="19">
      <c r="A2" s="257" t="s">
        <v>330</v>
      </c>
      <c r="B2" s="257"/>
      <c r="C2" s="257"/>
      <c r="D2" s="257"/>
      <c r="E2" s="257"/>
      <c r="F2" s="257"/>
      <c r="G2" s="257"/>
      <c r="H2" s="257"/>
      <c r="I2" s="257"/>
      <c r="J2" s="257"/>
      <c r="K2" s="257"/>
      <c r="L2" s="257"/>
      <c r="M2" s="257"/>
      <c r="N2" s="257"/>
      <c r="O2" s="257"/>
      <c r="P2" s="257"/>
      <c r="Q2" s="257"/>
      <c r="R2" s="257"/>
      <c r="S2" s="257"/>
      <c r="T2" s="257"/>
    </row>
    <row r="3" spans="1:20">
      <c r="A3" s="258" t="s">
        <v>380</v>
      </c>
      <c r="B3" s="259"/>
      <c r="C3" s="259"/>
      <c r="D3" s="259"/>
      <c r="E3" s="259"/>
      <c r="F3" s="259"/>
      <c r="G3" s="259"/>
      <c r="H3" s="259"/>
      <c r="I3" s="259"/>
      <c r="J3" s="259"/>
      <c r="K3" s="259"/>
      <c r="L3" s="259"/>
      <c r="M3" s="259"/>
      <c r="N3" s="260"/>
    </row>
    <row r="4" spans="1:20" ht="17" thickBot="1"/>
    <row r="5" spans="1:20" ht="17" thickBot="1">
      <c r="A5" s="159" t="s">
        <v>37</v>
      </c>
      <c r="B5" s="161"/>
      <c r="C5" s="162" t="str">
        <f>IF(ISERROR(HLOOKUP(country_name,exchange_rates,2,FALSE)),"Please Enter the Country Name","")</f>
        <v>Please Enter the Country Name</v>
      </c>
      <c r="D5" s="162"/>
      <c r="E5" s="162"/>
      <c r="F5" s="162"/>
    </row>
    <row r="6" spans="1:20">
      <c r="A6" s="159" t="s">
        <v>38</v>
      </c>
      <c r="B6" s="161"/>
      <c r="C6" s="162" t="str">
        <f>IF(number_regions="","Please Enter the Number of provinces","")</f>
        <v>Please Enter the Number of provinces</v>
      </c>
    </row>
    <row r="7" spans="1:20">
      <c r="A7" s="159" t="s">
        <v>18</v>
      </c>
      <c r="B7" s="163"/>
      <c r="C7" s="162" t="str">
        <f>IF(districts_number="","Please Enter the Number of districts","")</f>
        <v>Please Enter the Number of districts</v>
      </c>
    </row>
    <row r="8" spans="1:20">
      <c r="A8" s="159" t="s">
        <v>39</v>
      </c>
      <c r="B8" s="163"/>
      <c r="C8" s="162" t="str">
        <f>IF(Number_of_Facilities="","Please Enter the Number of facilities","")</f>
        <v>Please Enter the Number of facilities</v>
      </c>
    </row>
    <row r="9" spans="1:20">
      <c r="A9" s="159" t="s">
        <v>19</v>
      </c>
      <c r="B9" s="164">
        <v>2020</v>
      </c>
      <c r="C9" s="162" t="str">
        <f>IF(start_year="","Please Enter the Starting year for the budget projections","")</f>
        <v/>
      </c>
      <c r="I9" s="165"/>
    </row>
    <row r="10" spans="1:20" ht="17" thickBot="1">
      <c r="I10" s="165"/>
    </row>
    <row r="11" spans="1:20">
      <c r="A11" s="159" t="s">
        <v>20</v>
      </c>
      <c r="B11" s="166" t="s">
        <v>40</v>
      </c>
      <c r="C11" s="162" t="str">
        <f>IF(currency="","Please Enter the Currency for the budget projections","")</f>
        <v/>
      </c>
    </row>
    <row r="12" spans="1:20">
      <c r="A12" s="159" t="s">
        <v>21</v>
      </c>
      <c r="B12" s="167" t="s">
        <v>41</v>
      </c>
      <c r="C12" s="162" t="str">
        <f>IF(local_currency="","Please Enter the local currency symbols","")</f>
        <v/>
      </c>
    </row>
    <row r="13" spans="1:20">
      <c r="A13" s="159" t="str">
        <f>"Exchange rate "&amp;currency&amp;" to local currency ("&amp;local_currency&amp; " per 1 "&amp;currency&amp;")"</f>
        <v>Exchange rate USD to local currency (ZWL per 1 USD)</v>
      </c>
      <c r="B13" s="167">
        <v>20</v>
      </c>
      <c r="C13" s="162" t="str">
        <f>IF(_xch="","Please Enter the Exchange rate for USD to local currency from","")</f>
        <v/>
      </c>
      <c r="K13" s="168" t="str">
        <f>IF(_xch="","https://www.xe.com/currencytables/","")</f>
        <v/>
      </c>
    </row>
    <row r="14" spans="1:20">
      <c r="B14" s="169"/>
      <c r="C14" s="170"/>
      <c r="D14" s="171"/>
      <c r="E14" s="171"/>
      <c r="I14" s="172"/>
      <c r="J14" s="172"/>
      <c r="K14" s="172"/>
    </row>
    <row r="15" spans="1:20">
      <c r="I15" s="172"/>
      <c r="J15" s="172"/>
      <c r="K15" s="172"/>
    </row>
    <row r="16" spans="1:20" ht="17" thickBot="1">
      <c r="M16" s="158" t="s">
        <v>379</v>
      </c>
    </row>
    <row r="17" spans="1:14">
      <c r="A17" s="25" t="s">
        <v>169</v>
      </c>
      <c r="B17" s="25"/>
      <c r="C17" s="173">
        <f>start_year</f>
        <v>2020</v>
      </c>
      <c r="D17" s="174">
        <f t="shared" ref="D17" si="0">C17+1</f>
        <v>2021</v>
      </c>
      <c r="E17" s="174">
        <f t="shared" ref="E17" si="1">D17+1</f>
        <v>2022</v>
      </c>
      <c r="F17" s="174">
        <f>E17+1</f>
        <v>2023</v>
      </c>
      <c r="G17" s="174">
        <f t="shared" ref="G17" si="2">F17+1</f>
        <v>2024</v>
      </c>
      <c r="H17" s="174">
        <f t="shared" ref="H17" si="3">G17+1</f>
        <v>2025</v>
      </c>
      <c r="I17" s="174">
        <f t="shared" ref="I17" si="4">H17+1</f>
        <v>2026</v>
      </c>
      <c r="J17" s="174">
        <f t="shared" ref="J17" si="5">I17+1</f>
        <v>2027</v>
      </c>
      <c r="K17" s="174">
        <f t="shared" ref="K17" si="6">J17+1</f>
        <v>2028</v>
      </c>
      <c r="L17" s="174">
        <f t="shared" ref="L17" si="7">K17+1</f>
        <v>2029</v>
      </c>
      <c r="M17" s="158" t="s">
        <v>171</v>
      </c>
      <c r="N17" s="156" t="s">
        <v>382</v>
      </c>
    </row>
    <row r="18" spans="1:14">
      <c r="A18" s="29" t="s">
        <v>176</v>
      </c>
      <c r="B18" s="29"/>
      <c r="C18" s="175"/>
      <c r="D18" s="249">
        <v>0</v>
      </c>
      <c r="E18" s="249">
        <v>0</v>
      </c>
      <c r="F18" s="176"/>
      <c r="G18" s="176"/>
      <c r="H18" s="176"/>
      <c r="I18" s="176"/>
      <c r="J18" s="176"/>
      <c r="K18" s="176"/>
      <c r="L18" s="176"/>
      <c r="M18" s="158" t="s">
        <v>201</v>
      </c>
      <c r="N18" s="157" t="str">
        <f>IF(hr_time_training_materials="","Please Enter the time required by the consultant to develop paediatric TB training materials","An estimate has been provided for guidance ONLY. If not applicable, please fill in the country specific estimate.")</f>
        <v>Please Enter the time required by the consultant to develop paediatric TB training materials</v>
      </c>
    </row>
    <row r="19" spans="1:14">
      <c r="A19" s="24" t="s">
        <v>340</v>
      </c>
      <c r="B19" s="24"/>
      <c r="C19" s="177">
        <v>1</v>
      </c>
      <c r="D19" s="249">
        <v>0</v>
      </c>
      <c r="E19" s="249">
        <v>0</v>
      </c>
      <c r="F19" s="176"/>
      <c r="G19" s="176"/>
      <c r="H19" s="176"/>
      <c r="I19" s="176"/>
      <c r="J19" s="176"/>
      <c r="K19" s="176"/>
      <c r="L19" s="176"/>
      <c r="M19" s="158" t="s">
        <v>180</v>
      </c>
      <c r="N19" s="157" t="str">
        <f>IF(nr_consultants="","Please Enter the number of consultants developind paediatric TB training materials","See Notes &amp; Assumptions Tab")</f>
        <v>See Notes &amp; Assumptions Tab</v>
      </c>
    </row>
    <row r="20" spans="1:14">
      <c r="A20" s="24" t="s">
        <v>341</v>
      </c>
      <c r="B20" s="24"/>
      <c r="C20" s="177">
        <v>1</v>
      </c>
      <c r="D20" s="249">
        <v>0</v>
      </c>
      <c r="E20" s="249">
        <v>0</v>
      </c>
      <c r="F20" s="176"/>
      <c r="G20" s="176"/>
      <c r="H20" s="176"/>
      <c r="I20" s="176"/>
      <c r="J20" s="176"/>
      <c r="K20" s="176"/>
      <c r="L20" s="176"/>
      <c r="M20" s="158" t="s">
        <v>181</v>
      </c>
      <c r="N20" s="157" t="str">
        <f>IF(nr_in_brief_meetings="","Please Enter the number of briefing meetings with the consultant","See Notes &amp; Assumptions Tab")</f>
        <v>See Notes &amp; Assumptions Tab</v>
      </c>
    </row>
    <row r="21" spans="1:14">
      <c r="A21" s="24" t="s">
        <v>342</v>
      </c>
      <c r="B21" s="24"/>
      <c r="C21" s="175"/>
      <c r="D21" s="249">
        <v>0</v>
      </c>
      <c r="E21" s="249">
        <v>0</v>
      </c>
      <c r="F21" s="176"/>
      <c r="G21" s="176"/>
      <c r="H21" s="176"/>
      <c r="I21" s="176"/>
      <c r="J21" s="176"/>
      <c r="K21" s="176"/>
      <c r="L21" s="176"/>
      <c r="M21" s="158" t="s">
        <v>182</v>
      </c>
      <c r="N21" s="157" t="str">
        <f>IF(nr_participants_per_in_brief_meeting="","Enter the number NTP participants to attend the briefining meeting with the consultant","See Notes &amp; Assumptions Tab")</f>
        <v>Enter the number NTP participants to attend the briefining meeting with the consultant</v>
      </c>
    </row>
    <row r="22" spans="1:14">
      <c r="A22" s="24" t="s">
        <v>344</v>
      </c>
      <c r="B22" s="24"/>
      <c r="C22" s="177">
        <v>1</v>
      </c>
      <c r="D22" s="249">
        <v>0</v>
      </c>
      <c r="E22" s="249">
        <v>0</v>
      </c>
      <c r="F22" s="176"/>
      <c r="G22" s="176"/>
      <c r="H22" s="176"/>
      <c r="I22" s="176"/>
      <c r="J22" s="176"/>
      <c r="K22" s="176"/>
      <c r="L22" s="176"/>
      <c r="M22" s="158" t="s">
        <v>183</v>
      </c>
      <c r="N22" s="157" t="str">
        <f>IF(nr_inception_meetings="","Enter the number of inception meetings between the relevant technical working group/committee and the consultant","See Notes &amp; Assumptions Tab")</f>
        <v>See Notes &amp; Assumptions Tab</v>
      </c>
    </row>
    <row r="23" spans="1:14">
      <c r="A23" s="24" t="s">
        <v>345</v>
      </c>
      <c r="B23" s="24"/>
      <c r="C23" s="175"/>
      <c r="D23" s="249">
        <v>0</v>
      </c>
      <c r="E23" s="249">
        <v>0</v>
      </c>
      <c r="F23" s="176"/>
      <c r="G23" s="176"/>
      <c r="H23" s="176"/>
      <c r="I23" s="176"/>
      <c r="J23" s="176"/>
      <c r="K23" s="176"/>
      <c r="L23" s="176"/>
      <c r="M23" s="158" t="s">
        <v>184</v>
      </c>
      <c r="N23" s="157" t="str">
        <f>IF(nr_participants_inception_meeting="","Enter the number of relevant technical working group/committee to attend the inception meeting","See Notes &amp; Assumptions Tab")</f>
        <v>Enter the number of relevant technical working group/committee to attend the inception meeting</v>
      </c>
    </row>
    <row r="24" spans="1:14">
      <c r="A24" s="24" t="s">
        <v>177</v>
      </c>
      <c r="B24" s="24"/>
      <c r="C24" s="177">
        <v>2</v>
      </c>
      <c r="D24" s="249">
        <v>0</v>
      </c>
      <c r="E24" s="249">
        <v>0</v>
      </c>
      <c r="F24" s="176"/>
      <c r="G24" s="176"/>
      <c r="H24" s="176"/>
      <c r="I24" s="176"/>
      <c r="J24" s="176"/>
      <c r="K24" s="176"/>
      <c r="L24" s="176"/>
      <c r="M24" s="158" t="s">
        <v>185</v>
      </c>
      <c r="N24" s="157" t="str">
        <f>IF(nr_days_workshop_draft="","Enter the expected duration for the workshop to review draft training materials","See Notes &amp; Assumptions Tab")</f>
        <v>See Notes &amp; Assumptions Tab</v>
      </c>
    </row>
    <row r="25" spans="1:14" ht="17">
      <c r="A25" s="27" t="s">
        <v>346</v>
      </c>
      <c r="B25" s="27"/>
      <c r="C25" s="175"/>
      <c r="D25" s="249">
        <v>0</v>
      </c>
      <c r="E25" s="249">
        <v>0</v>
      </c>
      <c r="F25" s="176"/>
      <c r="G25" s="176"/>
      <c r="H25" s="176"/>
      <c r="I25" s="176"/>
      <c r="J25" s="176"/>
      <c r="K25" s="176"/>
      <c r="L25" s="176"/>
      <c r="M25" s="158" t="s">
        <v>186</v>
      </c>
      <c r="N25" s="185" t="str">
        <f>IF(nr_participants_workshop_draft="","Enter the number of relevant technical working group or committee members to attend workshop to review draft training materials","See Notes &amp; Assumptions Tab")</f>
        <v>Enter the number of relevant technical working group or committee members to attend workshop to review draft training materials</v>
      </c>
    </row>
    <row r="26" spans="1:14">
      <c r="A26" s="24" t="s">
        <v>178</v>
      </c>
      <c r="B26" s="24"/>
      <c r="C26" s="177">
        <v>1</v>
      </c>
      <c r="D26" s="249">
        <v>0</v>
      </c>
      <c r="E26" s="249">
        <v>0</v>
      </c>
      <c r="F26" s="176"/>
      <c r="G26" s="176"/>
      <c r="H26" s="176"/>
      <c r="I26" s="176"/>
      <c r="J26" s="176"/>
      <c r="K26" s="176"/>
      <c r="L26" s="176"/>
      <c r="M26" s="158" t="s">
        <v>187</v>
      </c>
      <c r="N26" s="157" t="str">
        <f>IF(nr_days_workshop_finalize="","Enter the duration of workshop to finalize training materials (in days)","See Notes &amp; Assumptions Tab")</f>
        <v>See Notes &amp; Assumptions Tab</v>
      </c>
    </row>
    <row r="27" spans="1:14">
      <c r="A27" s="27" t="s">
        <v>347</v>
      </c>
      <c r="B27" s="27"/>
      <c r="C27" s="175"/>
      <c r="D27" s="249">
        <v>0</v>
      </c>
      <c r="E27" s="249">
        <v>0</v>
      </c>
      <c r="F27" s="176"/>
      <c r="G27" s="176"/>
      <c r="H27" s="176"/>
      <c r="I27" s="176"/>
      <c r="J27" s="176"/>
      <c r="K27" s="176"/>
      <c r="L27" s="176"/>
      <c r="M27" s="158" t="s">
        <v>188</v>
      </c>
      <c r="N27" s="157" t="str">
        <f>IF(nr_participants_workshop_finalize="","Enter the number of relevant technical working group or committee members to attend workshop to finalize training materials (in days)","See Notes &amp; Assumptions Tab")</f>
        <v>Enter the number of relevant technical working group or committee members to attend workshop to finalize training materials (in days)</v>
      </c>
    </row>
    <row r="28" spans="1:14">
      <c r="A28" s="24" t="s">
        <v>179</v>
      </c>
      <c r="B28" s="24"/>
      <c r="C28" s="177">
        <v>5</v>
      </c>
      <c r="D28" s="249">
        <v>0</v>
      </c>
      <c r="E28" s="249">
        <v>0</v>
      </c>
      <c r="F28" s="176"/>
      <c r="G28" s="176"/>
      <c r="H28" s="176"/>
      <c r="I28" s="176"/>
      <c r="J28" s="176"/>
      <c r="K28" s="176"/>
      <c r="L28" s="176"/>
      <c r="M28" s="158" t="s">
        <v>189</v>
      </c>
      <c r="N28" s="157" t="str">
        <f>IF(nr_days_workshop_validate="","Enter the duration of workshop to validate training materials (in days)","See Notes &amp; Assumptions Tab")</f>
        <v>See Notes &amp; Assumptions Tab</v>
      </c>
    </row>
    <row r="29" spans="1:14">
      <c r="A29" s="26" t="s">
        <v>343</v>
      </c>
      <c r="B29" s="26"/>
      <c r="C29" s="175"/>
      <c r="D29" s="249">
        <v>0</v>
      </c>
      <c r="E29" s="249">
        <v>0</v>
      </c>
      <c r="F29" s="176"/>
      <c r="G29" s="176"/>
      <c r="H29" s="176"/>
      <c r="I29" s="176"/>
      <c r="J29" s="176"/>
      <c r="K29" s="176"/>
      <c r="L29" s="176"/>
      <c r="N29" s="157" t="str">
        <f>IF(nr_participants_workshop_validate="","Enter the number of relevant technical working group or committee members to attend workshop to validate training materials (in days)","See Notes &amp; Assumptions Tab")</f>
        <v>Enter the number of relevant technical working group or committee members to attend workshop to validate training materials (in days)</v>
      </c>
    </row>
    <row r="30" spans="1:14" ht="17" thickBot="1">
      <c r="A30" s="27"/>
      <c r="B30" s="27"/>
      <c r="C30" s="178"/>
      <c r="D30" s="179"/>
      <c r="E30" s="179"/>
      <c r="F30" s="179"/>
      <c r="G30" s="179"/>
      <c r="H30" s="179"/>
      <c r="I30" s="179"/>
      <c r="J30" s="179"/>
      <c r="K30" s="179"/>
      <c r="L30" s="179"/>
    </row>
    <row r="31" spans="1:14">
      <c r="A31" s="25" t="s">
        <v>30</v>
      </c>
      <c r="B31" s="25"/>
      <c r="C31" s="173">
        <f>start_year</f>
        <v>2020</v>
      </c>
      <c r="D31" s="174">
        <f t="shared" ref="D31" si="8">C31+1</f>
        <v>2021</v>
      </c>
      <c r="E31" s="174">
        <f t="shared" ref="E31" si="9">D31+1</f>
        <v>2022</v>
      </c>
      <c r="F31" s="174">
        <f>E31+1</f>
        <v>2023</v>
      </c>
      <c r="G31" s="174">
        <f t="shared" ref="G31" si="10">F31+1</f>
        <v>2024</v>
      </c>
      <c r="H31" s="174">
        <f t="shared" ref="H31" si="11">G31+1</f>
        <v>2025</v>
      </c>
      <c r="I31" s="174">
        <f t="shared" ref="I31" si="12">H31+1</f>
        <v>2026</v>
      </c>
      <c r="J31" s="174">
        <f t="shared" ref="J31" si="13">I31+1</f>
        <v>2027</v>
      </c>
      <c r="K31" s="174">
        <f t="shared" ref="K31" si="14">J31+1</f>
        <v>2028</v>
      </c>
      <c r="L31" s="174">
        <f t="shared" ref="L31" si="15">K31+1</f>
        <v>2029</v>
      </c>
      <c r="M31" s="158" t="s">
        <v>129</v>
      </c>
      <c r="N31" s="156" t="s">
        <v>382</v>
      </c>
    </row>
    <row r="32" spans="1:14">
      <c r="A32" s="24" t="s">
        <v>24</v>
      </c>
      <c r="B32" s="24"/>
      <c r="C32" s="177">
        <v>1</v>
      </c>
      <c r="D32" s="176">
        <v>1</v>
      </c>
      <c r="E32" s="176">
        <v>1</v>
      </c>
      <c r="F32" s="176"/>
      <c r="G32" s="176"/>
      <c r="H32" s="176"/>
      <c r="I32" s="176"/>
      <c r="J32" s="176"/>
      <c r="K32" s="176"/>
      <c r="L32" s="176"/>
      <c r="M32" s="158" t="s">
        <v>130</v>
      </c>
      <c r="N32" s="157" t="str">
        <f>IF(nr_sessions_py_tot_c="","Enter the number of planned national ToT sessions for paediatric TB per year","See Notes &amp; Assumptions Tab")</f>
        <v>See Notes &amp; Assumptions Tab</v>
      </c>
    </row>
    <row r="33" spans="1:14">
      <c r="A33" s="24" t="s">
        <v>25</v>
      </c>
      <c r="B33" s="24"/>
      <c r="C33" s="177">
        <v>5</v>
      </c>
      <c r="D33" s="176">
        <v>5</v>
      </c>
      <c r="E33" s="176">
        <v>5</v>
      </c>
      <c r="F33" s="176"/>
      <c r="G33" s="176"/>
      <c r="H33" s="176"/>
      <c r="I33" s="176"/>
      <c r="J33" s="176"/>
      <c r="K33" s="176"/>
      <c r="L33" s="176"/>
      <c r="M33" s="158" t="s">
        <v>131</v>
      </c>
      <c r="N33" s="157" t="str">
        <f>IF(nr_days_per_session_tot_c="","Enter the duration of ToT sessions for paediatric TB  (in days)","See Notes &amp; Assumptions Tab")</f>
        <v>See Notes &amp; Assumptions Tab</v>
      </c>
    </row>
    <row r="34" spans="1:14">
      <c r="A34" s="24" t="s">
        <v>26</v>
      </c>
      <c r="B34" s="24"/>
      <c r="C34" s="177">
        <v>25</v>
      </c>
      <c r="D34" s="176"/>
      <c r="E34" s="176"/>
      <c r="F34" s="176"/>
      <c r="G34" s="176"/>
      <c r="H34" s="176"/>
      <c r="I34" s="176"/>
      <c r="J34" s="176"/>
      <c r="K34" s="176"/>
      <c r="L34" s="176"/>
      <c r="M34" s="158" t="s">
        <v>132</v>
      </c>
      <c r="N34" s="157" t="str">
        <f>IF(nr_participants_tot_c="","Enter the expected number of national trainers (participants) to be trained per ToT session","See Notes &amp; Assumptions Tab")</f>
        <v>See Notes &amp; Assumptions Tab</v>
      </c>
    </row>
    <row r="35" spans="1:14">
      <c r="A35" s="24" t="s">
        <v>27</v>
      </c>
      <c r="B35" s="24"/>
      <c r="C35" s="177">
        <f>nr_participants_tot_c</f>
        <v>25</v>
      </c>
      <c r="D35" s="176">
        <f>nr_participants_tot_c</f>
        <v>25</v>
      </c>
      <c r="E35" s="176">
        <f>nr_participants_tot_c</f>
        <v>25</v>
      </c>
      <c r="F35" s="176"/>
      <c r="G35" s="176"/>
      <c r="H35" s="176"/>
      <c r="I35" s="176"/>
      <c r="J35" s="176"/>
      <c r="K35" s="176"/>
      <c r="L35" s="176"/>
      <c r="M35" s="158" t="s">
        <v>133</v>
      </c>
      <c r="N35" s="157" t="str">
        <f>IF(nr_participants_per_diem_tot_c="","Enter the expected number of national trainers (participants) to be trained per ToT session requiring per diems","See Notes &amp; Assumptions Tab")</f>
        <v>See Notes &amp; Assumptions Tab</v>
      </c>
    </row>
    <row r="36" spans="1:14">
      <c r="A36" s="24" t="s">
        <v>211</v>
      </c>
      <c r="B36" s="24"/>
      <c r="C36" s="177">
        <v>2</v>
      </c>
      <c r="D36" s="176">
        <v>2</v>
      </c>
      <c r="E36" s="176">
        <v>2</v>
      </c>
      <c r="F36" s="176"/>
      <c r="G36" s="176"/>
      <c r="H36" s="176"/>
      <c r="I36" s="176"/>
      <c r="J36" s="176"/>
      <c r="K36" s="176"/>
      <c r="L36" s="176"/>
      <c r="M36" s="158" t="s">
        <v>134</v>
      </c>
      <c r="N36" s="157" t="str">
        <f>IF(nr_faciliators_tot_c="","Enter the expected number of master trainers (facilitators) per ToT session","See Notes &amp; Assumptions Tab")</f>
        <v>See Notes &amp; Assumptions Tab</v>
      </c>
    </row>
    <row r="37" spans="1:14">
      <c r="A37" s="24" t="s">
        <v>349</v>
      </c>
      <c r="B37" s="24"/>
      <c r="C37" s="177">
        <v>2</v>
      </c>
      <c r="D37" s="176">
        <v>2</v>
      </c>
      <c r="E37" s="176">
        <v>2</v>
      </c>
      <c r="F37" s="176"/>
      <c r="G37" s="176"/>
      <c r="H37" s="176"/>
      <c r="I37" s="176"/>
      <c r="J37" s="176"/>
      <c r="K37" s="176"/>
      <c r="L37" s="176"/>
      <c r="M37" s="158" t="s">
        <v>213</v>
      </c>
      <c r="N37" s="157" t="str">
        <f>IF(nr_faciliators_hotel_tot_c="","Enter the expected number of master trainers (facilitators) requiring accommodation per ToT session","See Notes &amp; Assumptions Tab")</f>
        <v>See Notes &amp; Assumptions Tab</v>
      </c>
    </row>
    <row r="38" spans="1:14">
      <c r="A38" s="24" t="s">
        <v>212</v>
      </c>
      <c r="B38" s="24"/>
      <c r="C38" s="177">
        <v>0</v>
      </c>
      <c r="D38" s="176">
        <v>0</v>
      </c>
      <c r="E38" s="176">
        <v>0</v>
      </c>
      <c r="F38" s="176"/>
      <c r="G38" s="176"/>
      <c r="H38" s="176"/>
      <c r="I38" s="176"/>
      <c r="J38" s="176"/>
      <c r="K38" s="176"/>
      <c r="L38" s="176"/>
      <c r="M38" s="158" t="s">
        <v>135</v>
      </c>
      <c r="N38" s="157" t="str">
        <f>IF(nr_int_faciliators_tot_c="","Enter the expected number of international trainers (facilitators) per ToT session","See Notes &amp; Assumptions Tab")</f>
        <v>See Notes &amp; Assumptions Tab</v>
      </c>
    </row>
    <row r="39" spans="1:14">
      <c r="A39" s="24" t="s">
        <v>350</v>
      </c>
      <c r="B39" s="24"/>
      <c r="C39" s="177">
        <f>75%*nr_participants_tot_c</f>
        <v>18.75</v>
      </c>
      <c r="D39" s="176">
        <f>75%*nr_participants_tot_c</f>
        <v>18.75</v>
      </c>
      <c r="E39" s="176">
        <f>75%*nr_participants_tot_c</f>
        <v>18.75</v>
      </c>
      <c r="F39" s="176"/>
      <c r="G39" s="176"/>
      <c r="H39" s="176"/>
      <c r="I39" s="176"/>
      <c r="J39" s="176"/>
      <c r="K39" s="176"/>
      <c r="L39" s="176"/>
      <c r="M39" s="158" t="s">
        <v>136</v>
      </c>
      <c r="N39" s="157" t="str">
        <f>IF(nr_participants_hotel_tot_c="","Enter the expected number of national trainers (participants)  requiring accommodation per ToT session","See Notes &amp; Assumptions Tab")</f>
        <v>See Notes &amp; Assumptions Tab</v>
      </c>
    </row>
    <row r="40" spans="1:14">
      <c r="A40" s="26" t="s">
        <v>28</v>
      </c>
      <c r="B40" s="26"/>
      <c r="C40" s="177">
        <f>nr_participants_tot_c+nr_faciliators_tot_c</f>
        <v>27</v>
      </c>
      <c r="D40" s="176">
        <f>nr_participants_tot_c+nr_faciliators_tot_c</f>
        <v>27</v>
      </c>
      <c r="E40" s="176">
        <f>nr_participants_tot_c+nr_faciliators_tot_c</f>
        <v>27</v>
      </c>
      <c r="F40" s="176"/>
      <c r="G40" s="176"/>
      <c r="H40" s="176"/>
      <c r="I40" s="176"/>
      <c r="J40" s="176"/>
      <c r="K40" s="176"/>
      <c r="L40" s="176"/>
      <c r="N40" s="157" t="str">
        <f>IF(nr_training_materials_tot_c="","Enter the expected number of copies of training materials to be printed","See Notes &amp; Assumptions Tab")</f>
        <v>See Notes &amp; Assumptions Tab</v>
      </c>
    </row>
    <row r="41" spans="1:14" ht="17" thickBot="1">
      <c r="A41" s="24"/>
      <c r="B41" s="24"/>
      <c r="C41" s="24"/>
    </row>
    <row r="42" spans="1:14">
      <c r="A42" s="30" t="s">
        <v>123</v>
      </c>
      <c r="B42" s="30"/>
      <c r="C42" s="173">
        <f>start_year</f>
        <v>2020</v>
      </c>
      <c r="D42" s="174">
        <f t="shared" ref="D42" si="16">C42+1</f>
        <v>2021</v>
      </c>
      <c r="E42" s="174">
        <f t="shared" ref="E42" si="17">D42+1</f>
        <v>2022</v>
      </c>
      <c r="F42" s="174">
        <f>E42+1</f>
        <v>2023</v>
      </c>
      <c r="G42" s="174">
        <f t="shared" ref="G42" si="18">F42+1</f>
        <v>2024</v>
      </c>
      <c r="H42" s="174">
        <f t="shared" ref="H42" si="19">G42+1</f>
        <v>2025</v>
      </c>
      <c r="I42" s="174">
        <f t="shared" ref="I42" si="20">H42+1</f>
        <v>2026</v>
      </c>
      <c r="J42" s="174">
        <f t="shared" ref="J42" si="21">I42+1</f>
        <v>2027</v>
      </c>
      <c r="K42" s="174">
        <f t="shared" ref="K42" si="22">J42+1</f>
        <v>2028</v>
      </c>
      <c r="L42" s="174">
        <f t="shared" ref="L42" si="23">K42+1</f>
        <v>2029</v>
      </c>
      <c r="M42" s="158" t="s">
        <v>147</v>
      </c>
      <c r="N42" s="156" t="s">
        <v>382</v>
      </c>
    </row>
    <row r="43" spans="1:14">
      <c r="A43" s="24" t="s">
        <v>24</v>
      </c>
      <c r="B43" s="24"/>
      <c r="C43" s="177">
        <v>0</v>
      </c>
      <c r="D43" s="180">
        <v>0</v>
      </c>
      <c r="E43" s="180">
        <v>0</v>
      </c>
      <c r="F43" s="180"/>
      <c r="G43" s="180"/>
      <c r="H43" s="180"/>
      <c r="I43" s="180"/>
      <c r="J43" s="180"/>
      <c r="K43" s="180"/>
      <c r="L43" s="176"/>
      <c r="M43" s="158" t="s">
        <v>148</v>
      </c>
      <c r="N43" s="157" t="str">
        <f>IF(nr_sessions_tot_c_refresher="","Enter the number of planned national refresher ToT sessions for paediatric TB per year","See Notes &amp; Assumptions Tab")</f>
        <v>See Notes &amp; Assumptions Tab</v>
      </c>
    </row>
    <row r="44" spans="1:14">
      <c r="A44" s="24" t="s">
        <v>25</v>
      </c>
      <c r="B44" s="24"/>
      <c r="C44" s="177">
        <v>3</v>
      </c>
      <c r="D44" s="180">
        <v>3</v>
      </c>
      <c r="E44" s="180">
        <v>3</v>
      </c>
      <c r="F44" s="180"/>
      <c r="G44" s="180"/>
      <c r="H44" s="180"/>
      <c r="I44" s="180"/>
      <c r="J44" s="180"/>
      <c r="K44" s="180"/>
      <c r="L44" s="176"/>
      <c r="M44" s="158" t="s">
        <v>146</v>
      </c>
      <c r="N44" s="157" t="str">
        <f>IF(nr_days_per_session_tot_c_refresher="","Enter the duration of refresher ToT sessions for paediatric TB  (in days)","See Notes &amp; Assumptions Tab")</f>
        <v>See Notes &amp; Assumptions Tab</v>
      </c>
    </row>
    <row r="45" spans="1:14">
      <c r="A45" s="24" t="s">
        <v>26</v>
      </c>
      <c r="B45" s="24"/>
      <c r="C45" s="177">
        <v>25</v>
      </c>
      <c r="D45" s="180"/>
      <c r="E45" s="180"/>
      <c r="F45" s="180"/>
      <c r="G45" s="180"/>
      <c r="H45" s="180"/>
      <c r="I45" s="180"/>
      <c r="J45" s="180"/>
      <c r="K45" s="180"/>
      <c r="L45" s="176"/>
      <c r="M45" s="158" t="s">
        <v>149</v>
      </c>
      <c r="N45" s="157" t="str">
        <f>IF(nr_participants_tot_c_refresher="","Enter the expected number of national trainers (participants) to be trained per refresher ToT session","See Notes &amp; Assumptions Tab")</f>
        <v>See Notes &amp; Assumptions Tab</v>
      </c>
    </row>
    <row r="46" spans="1:14">
      <c r="A46" s="24" t="s">
        <v>27</v>
      </c>
      <c r="B46" s="24"/>
      <c r="C46" s="177">
        <f>75%*nr_participants_tot_c_refresher</f>
        <v>18.75</v>
      </c>
      <c r="D46" s="180">
        <f>75%*nr_participants_tot_c_refresher</f>
        <v>18.75</v>
      </c>
      <c r="E46" s="180">
        <f>75%*nr_participants_tot_c_refresher</f>
        <v>18.75</v>
      </c>
      <c r="F46" s="180"/>
      <c r="G46" s="180"/>
      <c r="H46" s="180"/>
      <c r="I46" s="180"/>
      <c r="J46" s="180"/>
      <c r="K46" s="180"/>
      <c r="L46" s="176"/>
      <c r="M46" s="158" t="s">
        <v>150</v>
      </c>
      <c r="N46" s="157" t="str">
        <f>IF(nr_participants_per_diem_tot_c_refresher="","Enter the expected number of national trainers (participants) to be trained per refresher ToT session requiring per diems","See Notes &amp; Assumptions Tab")</f>
        <v>See Notes &amp; Assumptions Tab</v>
      </c>
    </row>
    <row r="47" spans="1:14">
      <c r="A47" s="24" t="s">
        <v>211</v>
      </c>
      <c r="B47" s="24"/>
      <c r="C47" s="177">
        <v>2</v>
      </c>
      <c r="D47" s="180">
        <v>2</v>
      </c>
      <c r="E47" s="180">
        <v>2</v>
      </c>
      <c r="F47" s="180"/>
      <c r="G47" s="180"/>
      <c r="H47" s="180"/>
      <c r="I47" s="180"/>
      <c r="J47" s="180"/>
      <c r="K47" s="180"/>
      <c r="L47" s="176"/>
      <c r="M47" s="158" t="s">
        <v>219</v>
      </c>
      <c r="N47" s="157" t="str">
        <f>IF(nr_faciliators_tot_c_refresher="","Enter the expected number of master trainers (facilitators) per refresher ToT session","See Notes &amp; Assumptions Tab")</f>
        <v>See Notes &amp; Assumptions Tab</v>
      </c>
    </row>
    <row r="48" spans="1:14">
      <c r="A48" s="24" t="s">
        <v>212</v>
      </c>
      <c r="B48" s="24"/>
      <c r="C48" s="177">
        <v>0</v>
      </c>
      <c r="D48" s="176">
        <v>0</v>
      </c>
      <c r="E48" s="176">
        <v>0</v>
      </c>
      <c r="F48" s="176"/>
      <c r="G48" s="176"/>
      <c r="H48" s="176"/>
      <c r="I48" s="176"/>
      <c r="J48" s="176"/>
      <c r="K48" s="176"/>
      <c r="L48" s="176"/>
      <c r="M48" s="158" t="s">
        <v>151</v>
      </c>
      <c r="N48" s="157" t="str">
        <f>IF(nr_int_faciliators_tot_c_refresher="","Enter the expected number of master trainers (facilitators) requiring accommodation per refresher ToT session","See Notes &amp; Assumptions Tab")</f>
        <v>See Notes &amp; Assumptions Tab</v>
      </c>
    </row>
    <row r="49" spans="1:14">
      <c r="A49" s="24" t="s">
        <v>350</v>
      </c>
      <c r="B49" s="24"/>
      <c r="C49" s="177">
        <f>75%*nr_participants_tot_c_refresher</f>
        <v>18.75</v>
      </c>
      <c r="D49" s="176">
        <f>75%*nr_participants_tot_c_refresher</f>
        <v>18.75</v>
      </c>
      <c r="E49" s="176">
        <f>75%*nr_participants_tot_c_refresher</f>
        <v>18.75</v>
      </c>
      <c r="F49" s="180"/>
      <c r="G49" s="180"/>
      <c r="H49" s="180"/>
      <c r="I49" s="180"/>
      <c r="J49" s="180"/>
      <c r="K49" s="180"/>
      <c r="L49" s="176"/>
      <c r="M49" s="158" t="s">
        <v>152</v>
      </c>
      <c r="N49" s="157" t="str">
        <f>IF(nr_participants_hotel_tot_c_refresher="","Enter the expected number of international trainers (facilitators) per refresher ToT session","See Notes &amp; Assumptions Tab")</f>
        <v>See Notes &amp; Assumptions Tab</v>
      </c>
    </row>
    <row r="50" spans="1:14">
      <c r="A50" s="24" t="s">
        <v>349</v>
      </c>
      <c r="B50" s="24"/>
      <c r="C50" s="177">
        <v>2</v>
      </c>
      <c r="D50" s="176">
        <v>2</v>
      </c>
      <c r="E50" s="176">
        <v>2</v>
      </c>
      <c r="F50" s="176"/>
      <c r="G50" s="176"/>
      <c r="H50" s="176"/>
      <c r="I50" s="176"/>
      <c r="J50" s="176"/>
      <c r="K50" s="176"/>
      <c r="L50" s="176"/>
      <c r="M50" s="158" t="s">
        <v>153</v>
      </c>
      <c r="N50" s="157" t="str">
        <f>IF(nr_faciliators_hotel_tot_c_refresher="","Enter the expected number of national trainers (participants)  requiring accommodation per ToT session","See Notes &amp; Assumptions Tab")</f>
        <v>See Notes &amp; Assumptions Tab</v>
      </c>
    </row>
    <row r="51" spans="1:14">
      <c r="A51" s="26" t="s">
        <v>28</v>
      </c>
      <c r="B51" s="26"/>
      <c r="C51" s="177">
        <f>nr_participants_tot_c_refresher+nr_faciliators_tot_c_refresher+nr_int_faciliators_tot_c_refresher</f>
        <v>27</v>
      </c>
      <c r="D51" s="176">
        <f>D45+D47+D48</f>
        <v>2</v>
      </c>
      <c r="E51" s="176">
        <f>E45+E47+E48</f>
        <v>2</v>
      </c>
      <c r="F51" s="180"/>
      <c r="G51" s="180"/>
      <c r="H51" s="180"/>
      <c r="I51" s="180"/>
      <c r="J51" s="180"/>
      <c r="K51" s="180"/>
      <c r="L51" s="176"/>
      <c r="N51" s="157" t="str">
        <f>IF(nr_training_materials_tot_c_refresher="","Enter the expected number of copies of training materials to be printed","See Notes &amp; Assumptions Tab")</f>
        <v>See Notes &amp; Assumptions Tab</v>
      </c>
    </row>
    <row r="52" spans="1:14" ht="17" thickBot="1">
      <c r="A52" s="24"/>
      <c r="B52" s="24"/>
      <c r="C52" s="24"/>
    </row>
    <row r="53" spans="1:14">
      <c r="A53" s="30" t="s">
        <v>31</v>
      </c>
      <c r="B53" s="30"/>
      <c r="C53" s="173">
        <f>start_year</f>
        <v>2020</v>
      </c>
      <c r="D53" s="174">
        <f t="shared" ref="D53" si="24">C53+1</f>
        <v>2021</v>
      </c>
      <c r="E53" s="174">
        <f t="shared" ref="E53" si="25">D53+1</f>
        <v>2022</v>
      </c>
      <c r="F53" s="174">
        <f>E53+1</f>
        <v>2023</v>
      </c>
      <c r="G53" s="174">
        <f t="shared" ref="G53" si="26">F53+1</f>
        <v>2024</v>
      </c>
      <c r="H53" s="174">
        <f t="shared" ref="H53" si="27">G53+1</f>
        <v>2025</v>
      </c>
      <c r="I53" s="174">
        <f t="shared" ref="I53" si="28">H53+1</f>
        <v>2026</v>
      </c>
      <c r="J53" s="174">
        <f t="shared" ref="J53" si="29">I53+1</f>
        <v>2027</v>
      </c>
      <c r="K53" s="174">
        <f t="shared" ref="K53" si="30">J53+1</f>
        <v>2028</v>
      </c>
      <c r="L53" s="174">
        <f t="shared" ref="L53" si="31">K53+1</f>
        <v>2029</v>
      </c>
      <c r="M53" s="158" t="s">
        <v>167</v>
      </c>
      <c r="N53" s="156" t="s">
        <v>382</v>
      </c>
    </row>
    <row r="54" spans="1:14">
      <c r="A54" s="24" t="s">
        <v>348</v>
      </c>
      <c r="B54" s="24"/>
      <c r="C54" s="177"/>
      <c r="D54" s="176"/>
      <c r="E54" s="176"/>
      <c r="F54" s="176"/>
      <c r="G54" s="176"/>
      <c r="H54" s="176"/>
      <c r="I54" s="176"/>
      <c r="J54" s="176"/>
      <c r="K54" s="176"/>
      <c r="L54" s="176"/>
      <c r="M54" s="158" t="s">
        <v>137</v>
      </c>
      <c r="N54" s="157" t="str">
        <f>IF(nr_districts_tot_r="","Enter the number of districts or regions where regional ToT sessions will be conducted per year","See Notes &amp; Assumptions Tab")</f>
        <v>Enter the number of districts or regions where regional ToT sessions will be conducted per year</v>
      </c>
    </row>
    <row r="55" spans="1:14">
      <c r="A55" s="24" t="s">
        <v>384</v>
      </c>
      <c r="B55" s="24"/>
      <c r="C55" s="177">
        <v>2</v>
      </c>
      <c r="D55" s="180">
        <v>2</v>
      </c>
      <c r="E55" s="180">
        <v>2</v>
      </c>
      <c r="F55" s="180"/>
      <c r="G55" s="180"/>
      <c r="H55" s="180"/>
      <c r="I55" s="180"/>
      <c r="J55" s="180"/>
      <c r="K55" s="180"/>
      <c r="L55" s="176"/>
      <c r="M55" s="158" t="s">
        <v>140</v>
      </c>
      <c r="N55" s="157" t="str">
        <f>IF(nr_sessions_tot_r="","Enter the number of planned regional ToT sessions for paediatric TB per year","See Notes &amp; Assumptions Tab")</f>
        <v>See Notes &amp; Assumptions Tab</v>
      </c>
    </row>
    <row r="56" spans="1:14">
      <c r="A56" s="24" t="s">
        <v>25</v>
      </c>
      <c r="B56" s="24"/>
      <c r="C56" s="177">
        <v>5</v>
      </c>
      <c r="D56" s="180">
        <v>5</v>
      </c>
      <c r="E56" s="180">
        <v>5</v>
      </c>
      <c r="F56" s="180"/>
      <c r="G56" s="180"/>
      <c r="H56" s="180"/>
      <c r="I56" s="180"/>
      <c r="J56" s="180"/>
      <c r="K56" s="180"/>
      <c r="L56" s="176"/>
      <c r="M56" s="158" t="s">
        <v>138</v>
      </c>
      <c r="N56" s="157" t="str">
        <f>IF(nr_days_per_session_tot_r="","Enter the duration of regional ToT sessions for paediatric TB  (in days)","See Notes &amp; Assumptions Tab")</f>
        <v>See Notes &amp; Assumptions Tab</v>
      </c>
    </row>
    <row r="57" spans="1:14">
      <c r="A57" s="24" t="s">
        <v>44</v>
      </c>
      <c r="B57" s="24"/>
      <c r="C57" s="177">
        <v>25</v>
      </c>
      <c r="D57" s="180">
        <v>25</v>
      </c>
      <c r="E57" s="180">
        <v>25</v>
      </c>
      <c r="F57" s="180"/>
      <c r="G57" s="180"/>
      <c r="H57" s="180"/>
      <c r="I57" s="180"/>
      <c r="J57" s="180"/>
      <c r="K57" s="180"/>
      <c r="L57" s="176"/>
      <c r="M57" s="158" t="s">
        <v>139</v>
      </c>
      <c r="N57" s="157" t="str">
        <f>IF(nr_trainees_per_region_tot_r="","Enter the expected number of regional trainers (trainees) per region","See Notes &amp; Assumptions Tab")</f>
        <v>See Notes &amp; Assumptions Tab</v>
      </c>
    </row>
    <row r="58" spans="1:14">
      <c r="A58" s="24" t="s">
        <v>42</v>
      </c>
      <c r="B58" s="24"/>
      <c r="C58" s="177">
        <f>nr_trainees_per_region_tot_r</f>
        <v>25</v>
      </c>
      <c r="D58" s="180">
        <v>25</v>
      </c>
      <c r="E58" s="180">
        <v>25</v>
      </c>
      <c r="F58" s="180"/>
      <c r="G58" s="180"/>
      <c r="H58" s="180"/>
      <c r="I58" s="180"/>
      <c r="J58" s="180"/>
      <c r="K58" s="180"/>
      <c r="L58" s="176"/>
      <c r="M58" s="158" t="s">
        <v>141</v>
      </c>
      <c r="N58" s="157" t="str">
        <f>IF(nr_participants_tot_r="","Enter the expected number of regional trainers (trainees) per regional ToT session","See Notes &amp; Assumptions Tab")</f>
        <v>See Notes &amp; Assumptions Tab</v>
      </c>
    </row>
    <row r="59" spans="1:14">
      <c r="A59" s="24" t="s">
        <v>43</v>
      </c>
      <c r="B59" s="24"/>
      <c r="C59" s="177">
        <f>nr_participants_tot_r</f>
        <v>25</v>
      </c>
      <c r="D59" s="180">
        <v>25</v>
      </c>
      <c r="E59" s="180">
        <v>25</v>
      </c>
      <c r="F59" s="180"/>
      <c r="G59" s="180"/>
      <c r="H59" s="180"/>
      <c r="I59" s="180"/>
      <c r="J59" s="180"/>
      <c r="K59" s="180"/>
      <c r="L59" s="176"/>
      <c r="M59" s="158" t="s">
        <v>142</v>
      </c>
      <c r="N59" s="157" t="str">
        <f>IF(nr_participants_per_diem_tot_r="","Enter the expected number of regional trainers (trainees) requiring per diems per regional ToT session","See Notes &amp; Assumptions Tab")</f>
        <v>See Notes &amp; Assumptions Tab</v>
      </c>
    </row>
    <row r="60" spans="1:14">
      <c r="A60" s="24" t="s">
        <v>32</v>
      </c>
      <c r="B60" s="24"/>
      <c r="C60" s="177">
        <v>2</v>
      </c>
      <c r="D60" s="180">
        <v>2</v>
      </c>
      <c r="E60" s="180">
        <v>2</v>
      </c>
      <c r="F60" s="180"/>
      <c r="G60" s="180"/>
      <c r="H60" s="180"/>
      <c r="I60" s="180"/>
      <c r="J60" s="180"/>
      <c r="K60" s="180"/>
      <c r="L60" s="176"/>
      <c r="M60" s="158" t="s">
        <v>143</v>
      </c>
      <c r="N60" s="157" t="str">
        <f>IF(nr_faciliators_tot_r="","Enter the expected number of national trainers (facilitators)  per regional ToT session","See Notes &amp; Assumptions Tab")</f>
        <v>See Notes &amp; Assumptions Tab</v>
      </c>
    </row>
    <row r="61" spans="1:14">
      <c r="A61" s="24" t="s">
        <v>352</v>
      </c>
      <c r="B61" s="24"/>
      <c r="C61" s="177">
        <f>nr_participants_tot_r</f>
        <v>25</v>
      </c>
      <c r="D61" s="180">
        <v>25</v>
      </c>
      <c r="E61" s="180">
        <v>25</v>
      </c>
      <c r="F61" s="180"/>
      <c r="G61" s="180"/>
      <c r="H61" s="180"/>
      <c r="I61" s="180"/>
      <c r="J61" s="180"/>
      <c r="K61" s="180"/>
      <c r="L61" s="176"/>
      <c r="M61" s="158" t="s">
        <v>144</v>
      </c>
      <c r="N61" s="157" t="str">
        <f>IF(nr_participants_hotel_tot_r="","Enter the expected number of regional trainers (trainees) requiring accommodation per regional ToT session","See Notes &amp; Assumptions Tab")</f>
        <v>See Notes &amp; Assumptions Tab</v>
      </c>
    </row>
    <row r="62" spans="1:14">
      <c r="A62" s="24" t="s">
        <v>351</v>
      </c>
      <c r="B62" s="24"/>
      <c r="C62" s="177">
        <v>2</v>
      </c>
      <c r="D62" s="176">
        <v>2</v>
      </c>
      <c r="E62" s="176">
        <v>2</v>
      </c>
      <c r="F62" s="176"/>
      <c r="G62" s="176"/>
      <c r="H62" s="176"/>
      <c r="I62" s="176"/>
      <c r="J62" s="176"/>
      <c r="K62" s="176"/>
      <c r="L62" s="176"/>
      <c r="M62" s="158" t="s">
        <v>145</v>
      </c>
      <c r="N62" s="157" t="str">
        <f>IF(nr_faciliators_hotel_tot_r="","Enter the expected number of national trainers (facilitators) requiring accommodation per regional ToT session","See Notes &amp; Assumptions Tab")</f>
        <v>See Notes &amp; Assumptions Tab</v>
      </c>
    </row>
    <row r="63" spans="1:14">
      <c r="A63" s="26" t="s">
        <v>28</v>
      </c>
      <c r="B63" s="26"/>
      <c r="C63" s="177">
        <f>nr_participants_tot_r+nr_faciliators_tot_r</f>
        <v>27</v>
      </c>
      <c r="D63" s="180">
        <f>nr_participants_tot_r+nr_faciliators_tot_r</f>
        <v>27</v>
      </c>
      <c r="E63" s="180">
        <f>nr_participants_tot_r+nr_faciliators_tot_r</f>
        <v>27</v>
      </c>
      <c r="F63" s="180"/>
      <c r="G63" s="180"/>
      <c r="H63" s="180"/>
      <c r="I63" s="180"/>
      <c r="J63" s="180"/>
      <c r="K63" s="180"/>
      <c r="L63" s="176"/>
      <c r="N63" s="157" t="str">
        <f>IF(nr_training_materials_tot_r="","Enter the expected number of copies of training materials to be printed","See Notes &amp; Assumptions Tab")</f>
        <v>See Notes &amp; Assumptions Tab</v>
      </c>
    </row>
    <row r="64" spans="1:14">
      <c r="A64" s="24"/>
      <c r="B64" s="24"/>
      <c r="C64" s="24"/>
    </row>
    <row r="65" spans="1:14" ht="17" thickBot="1">
      <c r="A65" s="24"/>
      <c r="B65" s="24"/>
      <c r="C65" s="24"/>
    </row>
    <row r="66" spans="1:14">
      <c r="A66" s="93" t="s">
        <v>35</v>
      </c>
      <c r="B66" s="30"/>
      <c r="C66" s="173">
        <f>start_year</f>
        <v>2020</v>
      </c>
      <c r="D66" s="174">
        <f t="shared" ref="D66" si="32">C66+1</f>
        <v>2021</v>
      </c>
      <c r="E66" s="174">
        <f t="shared" ref="E66" si="33">D66+1</f>
        <v>2022</v>
      </c>
      <c r="F66" s="174">
        <f>E66+1</f>
        <v>2023</v>
      </c>
      <c r="G66" s="174">
        <f t="shared" ref="G66" si="34">F66+1</f>
        <v>2024</v>
      </c>
      <c r="H66" s="174">
        <f t="shared" ref="H66" si="35">G66+1</f>
        <v>2025</v>
      </c>
      <c r="I66" s="174">
        <f t="shared" ref="I66" si="36">H66+1</f>
        <v>2026</v>
      </c>
      <c r="J66" s="174">
        <f t="shared" ref="J66" si="37">I66+1</f>
        <v>2027</v>
      </c>
      <c r="K66" s="174">
        <f t="shared" ref="K66" si="38">J66+1</f>
        <v>2028</v>
      </c>
      <c r="L66" s="174">
        <f t="shared" ref="L66" si="39">K66+1</f>
        <v>2029</v>
      </c>
      <c r="M66" s="158" t="s">
        <v>161</v>
      </c>
      <c r="N66" s="156" t="s">
        <v>382</v>
      </c>
    </row>
    <row r="67" spans="1:14">
      <c r="A67" s="24" t="s">
        <v>87</v>
      </c>
      <c r="B67" s="24"/>
      <c r="C67" s="177"/>
      <c r="D67" s="176"/>
      <c r="E67" s="176"/>
      <c r="F67" s="180"/>
      <c r="G67" s="180"/>
      <c r="H67" s="180"/>
      <c r="I67" s="180"/>
      <c r="J67" s="180"/>
      <c r="K67" s="180"/>
      <c r="L67" s="176"/>
      <c r="M67" s="158" t="s">
        <v>157</v>
      </c>
      <c r="N67" s="157" t="str">
        <f>IF(nr_districts_to_be_trained="","Enter the number of districts or regions where on-site (facility-level) training on paediatric TB will be conducted per year","See Notes &amp; Assumptions Tab")</f>
        <v>Enter the number of districts or regions where on-site (facility-level) training on paediatric TB will be conducted per year</v>
      </c>
    </row>
    <row r="68" spans="1:14">
      <c r="A68" s="24" t="s">
        <v>88</v>
      </c>
      <c r="B68" s="24"/>
      <c r="C68" s="177"/>
      <c r="D68" s="176"/>
      <c r="E68" s="176"/>
      <c r="F68" s="180"/>
      <c r="G68" s="180"/>
      <c r="H68" s="180"/>
      <c r="I68" s="180"/>
      <c r="J68" s="180"/>
      <c r="K68" s="180"/>
      <c r="L68" s="176"/>
      <c r="M68" s="158" t="s">
        <v>159</v>
      </c>
      <c r="N68" s="157" t="str">
        <f>IF(nr_facilities_per_district="","Enter the number of facilities planned to receive on-site training on paediatric TB per year","See Notes &amp; Assumptions Tab")</f>
        <v>Enter the number of facilities planned to receive on-site training on paediatric TB per year</v>
      </c>
    </row>
    <row r="69" spans="1:14">
      <c r="A69" s="24" t="s">
        <v>383</v>
      </c>
      <c r="B69" s="24"/>
      <c r="C69" s="177">
        <v>2</v>
      </c>
      <c r="D69" s="176">
        <v>2</v>
      </c>
      <c r="E69" s="176">
        <v>2</v>
      </c>
      <c r="F69" s="180"/>
      <c r="G69" s="180"/>
      <c r="H69" s="180"/>
      <c r="I69" s="180"/>
      <c r="J69" s="180"/>
      <c r="K69" s="180"/>
      <c r="L69" s="176"/>
      <c r="M69" s="158" t="s">
        <v>154</v>
      </c>
      <c r="N69" s="157" t="str">
        <f>IF(nr_sessions_per_year_onsite="","Enter the number of planned on-site tarining sessions for paediatric TB per facility per year","See Notes &amp; Assumptions Tab")</f>
        <v>See Notes &amp; Assumptions Tab</v>
      </c>
    </row>
    <row r="70" spans="1:14">
      <c r="A70" s="33" t="s">
        <v>25</v>
      </c>
      <c r="B70" s="33"/>
      <c r="C70" s="177">
        <v>3</v>
      </c>
      <c r="D70" s="176">
        <v>3</v>
      </c>
      <c r="E70" s="176">
        <v>3</v>
      </c>
      <c r="F70" s="180"/>
      <c r="G70" s="180"/>
      <c r="H70" s="180"/>
      <c r="I70" s="180"/>
      <c r="J70" s="180"/>
      <c r="K70" s="180"/>
      <c r="L70" s="176"/>
      <c r="M70" s="158" t="s">
        <v>158</v>
      </c>
      <c r="N70" s="157" t="str">
        <f>IF(nr_days_per_session_onsite="","Enter the duration ofon-site training sessions for paediatric TB  (in days)","See Notes &amp; Assumptions Tab")</f>
        <v>See Notes &amp; Assumptions Tab</v>
      </c>
    </row>
    <row r="71" spans="1:14">
      <c r="A71" s="33" t="s">
        <v>385</v>
      </c>
      <c r="B71" s="33"/>
      <c r="C71" s="177">
        <v>20</v>
      </c>
      <c r="D71" s="176">
        <v>20</v>
      </c>
      <c r="E71" s="176">
        <v>20</v>
      </c>
      <c r="F71" s="180"/>
      <c r="G71" s="180"/>
      <c r="H71" s="180"/>
      <c r="I71" s="180"/>
      <c r="J71" s="180"/>
      <c r="K71" s="180"/>
      <c r="L71" s="176"/>
      <c r="M71" s="158" t="s">
        <v>160</v>
      </c>
      <c r="N71" s="157" t="str">
        <f>IF(nr_hcw_per_session="","Enter the expected number of health workers to be trained per on-site session per facility","See Notes &amp; Assumptions Tab")</f>
        <v>See Notes &amp; Assumptions Tab</v>
      </c>
    </row>
    <row r="72" spans="1:14">
      <c r="A72" s="24" t="s">
        <v>356</v>
      </c>
      <c r="B72" s="24"/>
      <c r="C72" s="177">
        <v>2</v>
      </c>
      <c r="D72" s="176">
        <v>2</v>
      </c>
      <c r="E72" s="176">
        <v>2</v>
      </c>
      <c r="F72" s="180"/>
      <c r="G72" s="180"/>
      <c r="H72" s="180"/>
      <c r="I72" s="180"/>
      <c r="J72" s="180"/>
      <c r="K72" s="180"/>
      <c r="L72" s="176"/>
      <c r="M72" s="158" t="s">
        <v>323</v>
      </c>
      <c r="N72" s="157" t="str">
        <f>IF(nr_moh_trainers_onsite="","Enter the expected number of MoH trainers (facilitators) per on-site training session","See Notes &amp; Assumptions Tab")</f>
        <v>See Notes &amp; Assumptions Tab</v>
      </c>
    </row>
    <row r="73" spans="1:14">
      <c r="A73" s="24" t="s">
        <v>353</v>
      </c>
      <c r="B73" s="24"/>
      <c r="C73" s="177">
        <v>2</v>
      </c>
      <c r="D73" s="176">
        <v>2</v>
      </c>
      <c r="E73" s="176">
        <v>2</v>
      </c>
      <c r="F73" s="180"/>
      <c r="G73" s="180"/>
      <c r="H73" s="180"/>
      <c r="I73" s="180"/>
      <c r="J73" s="180"/>
      <c r="K73" s="180"/>
      <c r="L73" s="176"/>
      <c r="M73" s="158" t="s">
        <v>162</v>
      </c>
      <c r="N73" s="157" t="str">
        <f>IF(nr_moh_trainers_hotel_onsite="","Enter the expected number of MoH trainers (facilitators) requiring accommodation per on-site training session","See Notes &amp; Assumptions Tab")</f>
        <v>See Notes &amp; Assumptions Tab</v>
      </c>
    </row>
    <row r="74" spans="1:14">
      <c r="A74" s="24" t="s">
        <v>357</v>
      </c>
      <c r="B74" s="24"/>
      <c r="C74" s="177">
        <v>0</v>
      </c>
      <c r="D74" s="176">
        <v>0</v>
      </c>
      <c r="E74" s="176">
        <v>0</v>
      </c>
      <c r="F74" s="180"/>
      <c r="G74" s="180"/>
      <c r="H74" s="180"/>
      <c r="I74" s="180"/>
      <c r="J74" s="180"/>
      <c r="K74" s="180"/>
      <c r="L74" s="176"/>
      <c r="M74" s="158" t="s">
        <v>324</v>
      </c>
      <c r="N74" s="157" t="str">
        <f>IF(nr_trainers_air_travel="","Enter the expected number of MoH trainers (facilitators) requiring air travel per on-site training session","See Notes &amp; Assumptions Tab")</f>
        <v>See Notes &amp; Assumptions Tab</v>
      </c>
    </row>
    <row r="75" spans="1:14">
      <c r="A75" s="27" t="s">
        <v>358</v>
      </c>
      <c r="B75" s="27"/>
      <c r="C75" s="177"/>
      <c r="D75" s="180"/>
      <c r="E75" s="180"/>
      <c r="F75" s="180"/>
      <c r="G75" s="180"/>
      <c r="H75" s="180"/>
      <c r="I75" s="180"/>
      <c r="J75" s="180"/>
      <c r="K75" s="180"/>
      <c r="L75" s="180"/>
      <c r="M75" s="158" t="s">
        <v>325</v>
      </c>
      <c r="N75" s="157" t="str">
        <f>IF(nr_hcw_transport_reimbursed_onsite="","Enter 1 if participants require transport cost reimbursement or 0 if they do not require transport cost reimbursement","See Notes &amp; Assumptions Tab")</f>
        <v>Enter 1 if participants require transport cost reimbursement or 0 if they do not require transport cost reimbursement</v>
      </c>
    </row>
    <row r="76" spans="1:14">
      <c r="A76" s="27" t="s">
        <v>359</v>
      </c>
      <c r="B76" s="27"/>
      <c r="C76" s="177">
        <v>0</v>
      </c>
      <c r="D76" s="180">
        <v>0</v>
      </c>
      <c r="E76" s="180">
        <v>0</v>
      </c>
      <c r="F76" s="180"/>
      <c r="G76" s="180"/>
      <c r="H76" s="180"/>
      <c r="I76" s="180"/>
      <c r="J76" s="180"/>
      <c r="K76" s="180"/>
      <c r="L76" s="180"/>
      <c r="M76" s="158" t="s">
        <v>155</v>
      </c>
      <c r="N76" s="157" t="str">
        <f>IF(onsite_training_venue_needed="","Enter 1 if venue rental is required or 0 venue rental is not required","See Notes &amp; Assumptions Tab")</f>
        <v>See Notes &amp; Assumptions Tab</v>
      </c>
    </row>
    <row r="77" spans="1:14">
      <c r="A77" s="26" t="s">
        <v>28</v>
      </c>
      <c r="B77" s="26"/>
      <c r="C77" s="177">
        <f>nr_hcw_per_session+nr_moh_trainers_onsite</f>
        <v>22</v>
      </c>
      <c r="D77" s="180">
        <f>nr_hcw_per_session+nr_moh_trainers_onsite</f>
        <v>22</v>
      </c>
      <c r="E77" s="180">
        <f>nr_hcw_per_session+nr_moh_trainers_onsite</f>
        <v>22</v>
      </c>
      <c r="F77" s="180"/>
      <c r="G77" s="180"/>
      <c r="H77" s="180"/>
      <c r="I77" s="180"/>
      <c r="J77" s="180"/>
      <c r="K77" s="180"/>
      <c r="L77" s="180"/>
      <c r="N77" s="157" t="str">
        <f>IF(nr_training_materials_onsite="","Enter the expected number of copies of training materials to be printed","See Notes &amp; Assumptions Tab")</f>
        <v>See Notes &amp; Assumptions Tab</v>
      </c>
    </row>
    <row r="78" spans="1:14">
      <c r="A78" s="158"/>
      <c r="B78" s="158"/>
      <c r="C78" s="181"/>
      <c r="D78" s="182"/>
      <c r="E78" s="182"/>
      <c r="F78" s="182"/>
      <c r="G78" s="182"/>
      <c r="H78" s="182"/>
      <c r="I78" s="182"/>
      <c r="J78" s="182"/>
      <c r="K78" s="182"/>
      <c r="L78" s="182"/>
    </row>
    <row r="79" spans="1:14">
      <c r="A79" s="24"/>
      <c r="B79" s="24"/>
      <c r="C79" s="181"/>
      <c r="D79" s="182"/>
      <c r="E79" s="182"/>
      <c r="F79" s="182"/>
      <c r="G79" s="182"/>
      <c r="H79" s="182"/>
      <c r="I79" s="182"/>
      <c r="J79" s="182"/>
      <c r="K79" s="182"/>
      <c r="L79" s="182"/>
    </row>
    <row r="80" spans="1:14" ht="17" thickBot="1">
      <c r="A80" s="25" t="s">
        <v>50</v>
      </c>
      <c r="B80" s="25"/>
      <c r="C80" s="181"/>
      <c r="D80" s="182"/>
      <c r="E80" s="182"/>
      <c r="F80" s="182"/>
      <c r="G80" s="182"/>
      <c r="H80" s="182"/>
      <c r="I80" s="182"/>
      <c r="J80" s="182"/>
      <c r="K80" s="182"/>
      <c r="L80" s="182"/>
    </row>
    <row r="81" spans="1:14" s="24" customFormat="1">
      <c r="A81" s="25" t="s">
        <v>220</v>
      </c>
      <c r="B81" s="25"/>
      <c r="C81" s="173">
        <f>start_year</f>
        <v>2020</v>
      </c>
      <c r="D81" s="174">
        <f t="shared" ref="D81" si="40">C81+1</f>
        <v>2021</v>
      </c>
      <c r="E81" s="174">
        <f t="shared" ref="E81" si="41">D81+1</f>
        <v>2022</v>
      </c>
      <c r="F81" s="174">
        <f>E81+1</f>
        <v>2023</v>
      </c>
      <c r="G81" s="174">
        <f t="shared" ref="G81" si="42">F81+1</f>
        <v>2024</v>
      </c>
      <c r="H81" s="174">
        <f t="shared" ref="H81" si="43">G81+1</f>
        <v>2025</v>
      </c>
      <c r="I81" s="174">
        <f t="shared" ref="I81" si="44">H81+1</f>
        <v>2026</v>
      </c>
      <c r="J81" s="174">
        <f t="shared" ref="J81" si="45">I81+1</f>
        <v>2027</v>
      </c>
      <c r="K81" s="174">
        <f t="shared" ref="K81" si="46">J81+1</f>
        <v>2028</v>
      </c>
      <c r="L81" s="174">
        <f t="shared" ref="L81" si="47">K81+1</f>
        <v>2029</v>
      </c>
      <c r="M81" s="24" t="s">
        <v>226</v>
      </c>
      <c r="N81" s="156" t="s">
        <v>382</v>
      </c>
    </row>
    <row r="82" spans="1:14" s="24" customFormat="1">
      <c r="A82" s="29" t="s">
        <v>225</v>
      </c>
      <c r="B82" s="29"/>
      <c r="C82" s="177"/>
      <c r="D82" s="176"/>
      <c r="E82" s="176"/>
      <c r="F82" s="176"/>
      <c r="G82" s="176"/>
      <c r="H82" s="176"/>
      <c r="I82" s="176"/>
      <c r="J82" s="176"/>
      <c r="K82" s="176"/>
      <c r="L82" s="176"/>
      <c r="M82" s="24" t="s">
        <v>227</v>
      </c>
      <c r="N82" s="157" t="str">
        <f>IF(nr_regions_m_s="","Enter the number of regions/provinces to receive site mentorship and supervision visits per year","See Notes &amp; Assumptions Tab")</f>
        <v>Enter the number of regions/provinces to receive site mentorship and supervision visits per year</v>
      </c>
    </row>
    <row r="83" spans="1:14" s="24" customFormat="1">
      <c r="A83" s="94" t="s">
        <v>224</v>
      </c>
      <c r="B83" s="94"/>
      <c r="C83" s="177">
        <v>1</v>
      </c>
      <c r="D83" s="176">
        <v>1</v>
      </c>
      <c r="E83" s="176">
        <v>1</v>
      </c>
      <c r="F83" s="180"/>
      <c r="G83" s="180"/>
      <c r="H83" s="180"/>
      <c r="I83" s="180"/>
      <c r="J83" s="180"/>
      <c r="K83" s="180"/>
      <c r="L83" s="176"/>
      <c r="M83" s="24" t="s">
        <v>228</v>
      </c>
      <c r="N83" s="157" t="str">
        <f>IF(nr_visits_regional_m_s="","Enter the number of planned site mentorship and supervision visits per region/province per year","See Notes &amp; Assumptions Tab")</f>
        <v>See Notes &amp; Assumptions Tab</v>
      </c>
    </row>
    <row r="84" spans="1:14" s="24" customFormat="1">
      <c r="A84" s="94" t="s">
        <v>223</v>
      </c>
      <c r="B84" s="94"/>
      <c r="C84" s="177">
        <v>2</v>
      </c>
      <c r="D84" s="176">
        <v>2</v>
      </c>
      <c r="E84" s="176">
        <v>2</v>
      </c>
      <c r="F84" s="180"/>
      <c r="G84" s="180"/>
      <c r="H84" s="180"/>
      <c r="I84" s="180"/>
      <c r="J84" s="180"/>
      <c r="K84" s="180"/>
      <c r="L84" s="176"/>
      <c r="M84" s="24" t="s">
        <v>229</v>
      </c>
      <c r="N84" s="157" t="str">
        <f>IF(nr_days_regional_m_s="","Enter the duration of each site mentorship and supervision visit (in days)","See Notes &amp; Assumptions Tab")</f>
        <v>See Notes &amp; Assumptions Tab</v>
      </c>
    </row>
    <row r="85" spans="1:14" s="24" customFormat="1">
      <c r="A85" s="27" t="s">
        <v>221</v>
      </c>
      <c r="B85" s="27"/>
      <c r="C85" s="177">
        <v>2</v>
      </c>
      <c r="D85" s="176">
        <v>2</v>
      </c>
      <c r="E85" s="176">
        <v>2</v>
      </c>
      <c r="F85" s="180"/>
      <c r="G85" s="180"/>
      <c r="H85" s="180"/>
      <c r="I85" s="180"/>
      <c r="J85" s="180"/>
      <c r="K85" s="180"/>
      <c r="L85" s="176"/>
      <c r="M85" s="24" t="s">
        <v>230</v>
      </c>
      <c r="N85" s="157" t="str">
        <f>IF(nr_nat_staff_regional_m_s="","Enter the expected number of national staff (mentors) per site mentorship and supervision visit","See Notes &amp; Assumptions Tab")</f>
        <v>See Notes &amp; Assumptions Tab</v>
      </c>
    </row>
    <row r="86" spans="1:14" s="24" customFormat="1">
      <c r="A86" s="27" t="s">
        <v>222</v>
      </c>
      <c r="B86" s="27"/>
      <c r="C86" s="177">
        <v>1</v>
      </c>
      <c r="D86" s="176">
        <v>1</v>
      </c>
      <c r="E86" s="176">
        <v>1</v>
      </c>
      <c r="F86" s="180"/>
      <c r="G86" s="180"/>
      <c r="H86" s="180"/>
      <c r="I86" s="180"/>
      <c r="J86" s="180"/>
      <c r="K86" s="180"/>
      <c r="L86" s="176"/>
      <c r="M86" s="24" t="s">
        <v>231</v>
      </c>
      <c r="N86" s="157" t="str">
        <f>IF(nr_supp_staff_regional_m_s="","Enter the expected number of support staff (mentors) per site mentorship and supervision visit","See Notes &amp; Assumptions Tab")</f>
        <v>See Notes &amp; Assumptions Tab</v>
      </c>
    </row>
    <row r="87" spans="1:14" s="24" customFormat="1">
      <c r="A87" s="94" t="s">
        <v>354</v>
      </c>
      <c r="B87" s="94"/>
      <c r="C87" s="177">
        <f>nr_nat_staff_regional_m_s+nr_supp_staff_regional_m_s</f>
        <v>3</v>
      </c>
      <c r="D87" s="176">
        <v>3</v>
      </c>
      <c r="E87" s="176">
        <v>3</v>
      </c>
      <c r="F87" s="180"/>
      <c r="G87" s="180"/>
      <c r="H87" s="180"/>
      <c r="I87" s="180"/>
      <c r="J87" s="180"/>
      <c r="K87" s="180"/>
      <c r="L87" s="176"/>
      <c r="M87" s="24" t="s">
        <v>232</v>
      </c>
      <c r="N87" s="157" t="str">
        <f>IF(nr_staff_hotel_regional_m_s="","Enter the expected number of national staff (mentors + support staff) requiring accommodation per site mentorship and supervision visit","See Notes &amp; Assumptions Tab")</f>
        <v>See Notes &amp; Assumptions Tab</v>
      </c>
    </row>
    <row r="88" spans="1:14" s="24" customFormat="1">
      <c r="A88" s="94" t="s">
        <v>114</v>
      </c>
      <c r="B88" s="94"/>
      <c r="C88" s="177">
        <v>0</v>
      </c>
      <c r="D88" s="176">
        <v>0</v>
      </c>
      <c r="E88" s="176">
        <v>0</v>
      </c>
      <c r="F88" s="180"/>
      <c r="G88" s="180"/>
      <c r="H88" s="180"/>
      <c r="I88" s="180"/>
      <c r="J88" s="180"/>
      <c r="K88" s="180"/>
      <c r="L88" s="176"/>
      <c r="M88" s="24" t="s">
        <v>251</v>
      </c>
      <c r="N88" s="157" t="str">
        <f>IF(nr_staff_air_trans_regional_m_s="","Enter the expected number of national staff (mentors) requiring air travel per site mentorship and supervision visit","See Notes &amp; Assumptions Tab")</f>
        <v>See Notes &amp; Assumptions Tab</v>
      </c>
    </row>
    <row r="89" spans="1:14" s="24" customFormat="1">
      <c r="A89" s="154" t="s">
        <v>250</v>
      </c>
      <c r="B89" s="154"/>
      <c r="C89" s="183">
        <v>0.1</v>
      </c>
      <c r="D89" s="184">
        <v>0.1</v>
      </c>
      <c r="E89" s="184">
        <v>0.1</v>
      </c>
      <c r="F89" s="180"/>
      <c r="G89" s="180"/>
      <c r="H89" s="180"/>
      <c r="I89" s="180"/>
      <c r="J89" s="180"/>
      <c r="K89" s="180"/>
      <c r="L89" s="176"/>
      <c r="N89" s="157" t="str">
        <f>IF(prop_paediatric_TB="","Enter the proportion of time spent on paediatric TB per site mentorship and supervision visit","See Notes &amp; Assumptions Tab")</f>
        <v>See Notes &amp; Assumptions Tab</v>
      </c>
    </row>
    <row r="90" spans="1:14" s="24" customFormat="1">
      <c r="A90" s="94"/>
      <c r="B90" s="94"/>
      <c r="C90" s="178"/>
      <c r="D90" s="182"/>
      <c r="E90" s="182"/>
      <c r="F90" s="182"/>
      <c r="G90" s="182"/>
      <c r="H90" s="182"/>
      <c r="I90" s="182"/>
      <c r="J90" s="182"/>
      <c r="K90" s="182"/>
      <c r="L90" s="179"/>
    </row>
    <row r="91" spans="1:14" ht="17" thickBot="1">
      <c r="A91" s="94"/>
      <c r="B91" s="94"/>
      <c r="C91" s="178"/>
      <c r="D91" s="182"/>
      <c r="E91" s="182"/>
      <c r="F91" s="182"/>
      <c r="G91" s="182"/>
      <c r="H91" s="182"/>
      <c r="I91" s="182"/>
      <c r="J91" s="182"/>
      <c r="K91" s="182"/>
      <c r="L91" s="179"/>
    </row>
    <row r="92" spans="1:14" s="24" customFormat="1">
      <c r="A92" s="25" t="s">
        <v>252</v>
      </c>
      <c r="B92" s="25"/>
      <c r="C92" s="173">
        <f>start_year</f>
        <v>2020</v>
      </c>
      <c r="D92" s="174">
        <f t="shared" ref="D92" si="48">C92+1</f>
        <v>2021</v>
      </c>
      <c r="E92" s="174">
        <f t="shared" ref="E92" si="49">D92+1</f>
        <v>2022</v>
      </c>
      <c r="F92" s="174">
        <f>E92+1</f>
        <v>2023</v>
      </c>
      <c r="G92" s="174">
        <f t="shared" ref="G92" si="50">F92+1</f>
        <v>2024</v>
      </c>
      <c r="H92" s="174">
        <f t="shared" ref="H92" si="51">G92+1</f>
        <v>2025</v>
      </c>
      <c r="I92" s="174">
        <f t="shared" ref="I92" si="52">H92+1</f>
        <v>2026</v>
      </c>
      <c r="J92" s="174">
        <f t="shared" ref="J92" si="53">I92+1</f>
        <v>2027</v>
      </c>
      <c r="K92" s="174">
        <f t="shared" ref="K92" si="54">J92+1</f>
        <v>2028</v>
      </c>
      <c r="L92" s="174">
        <f t="shared" ref="L92" si="55">K92+1</f>
        <v>2029</v>
      </c>
      <c r="M92" s="24" t="s">
        <v>242</v>
      </c>
      <c r="N92" s="156" t="s">
        <v>382</v>
      </c>
    </row>
    <row r="93" spans="1:14" s="24" customFormat="1">
      <c r="A93" s="29" t="s">
        <v>45</v>
      </c>
      <c r="B93" s="29"/>
      <c r="C93" s="177"/>
      <c r="D93" s="176"/>
      <c r="E93" s="176"/>
      <c r="F93" s="176"/>
      <c r="G93" s="176"/>
      <c r="H93" s="176"/>
      <c r="I93" s="176"/>
      <c r="J93" s="176"/>
      <c r="K93" s="176"/>
      <c r="L93" s="176"/>
      <c r="M93" s="24" t="s">
        <v>243</v>
      </c>
      <c r="N93" s="157" t="str">
        <f>IF(nr_districts_district_m_s="","Enter the number of districts/subdistricts to receive site mentorship and supervision visits from the region/province per year","See Notes &amp; Assumptions Tab")</f>
        <v>Enter the number of districts/subdistricts to receive site mentorship and supervision visits from the region/province per year</v>
      </c>
    </row>
    <row r="94" spans="1:14" s="24" customFormat="1">
      <c r="A94" s="94" t="s">
        <v>233</v>
      </c>
      <c r="B94" s="94"/>
      <c r="C94" s="177">
        <v>1</v>
      </c>
      <c r="D94" s="176">
        <v>1</v>
      </c>
      <c r="E94" s="176">
        <v>1</v>
      </c>
      <c r="F94" s="180"/>
      <c r="G94" s="180"/>
      <c r="H94" s="180"/>
      <c r="I94" s="180"/>
      <c r="J94" s="180"/>
      <c r="K94" s="180"/>
      <c r="L94" s="176"/>
      <c r="M94" s="24" t="s">
        <v>244</v>
      </c>
      <c r="N94" s="157" t="str">
        <f>IF(nr_visits_district_m_s="","Enter the number of planned site mentorship and supervision visits per distric/subdistrict per year","See Notes &amp; Assumptions Tab")</f>
        <v>See Notes &amp; Assumptions Tab</v>
      </c>
    </row>
    <row r="95" spans="1:14" s="24" customFormat="1">
      <c r="A95" s="94" t="s">
        <v>223</v>
      </c>
      <c r="B95" s="94"/>
      <c r="C95" s="177">
        <v>2</v>
      </c>
      <c r="D95" s="176">
        <v>2</v>
      </c>
      <c r="E95" s="176">
        <v>2</v>
      </c>
      <c r="F95" s="180"/>
      <c r="G95" s="180"/>
      <c r="H95" s="180"/>
      <c r="I95" s="180"/>
      <c r="J95" s="180"/>
      <c r="K95" s="180"/>
      <c r="L95" s="176"/>
      <c r="M95" s="24" t="s">
        <v>245</v>
      </c>
      <c r="N95" s="157" t="str">
        <f>IF(nr_days_district_m_s="","Enter the duration of each site mentorship and supervision visit (in days)","See Notes &amp; Assumptions Tab")</f>
        <v>See Notes &amp; Assumptions Tab</v>
      </c>
    </row>
    <row r="96" spans="1:14" s="24" customFormat="1">
      <c r="A96" s="27" t="s">
        <v>234</v>
      </c>
      <c r="B96" s="27"/>
      <c r="C96" s="177">
        <v>2</v>
      </c>
      <c r="D96" s="176">
        <v>2</v>
      </c>
      <c r="E96" s="176">
        <v>2</v>
      </c>
      <c r="F96" s="180"/>
      <c r="G96" s="180"/>
      <c r="H96" s="180"/>
      <c r="I96" s="180"/>
      <c r="J96" s="180"/>
      <c r="K96" s="180"/>
      <c r="L96" s="176"/>
      <c r="M96" s="24" t="s">
        <v>246</v>
      </c>
      <c r="N96" s="157" t="str">
        <f>IF(nr_nat_staff_district_m_s="","Enter the expected number of regional/provincial staff (mentors) per site mentorship and supervision visit","See Notes &amp; Assumptions Tab")</f>
        <v>See Notes &amp; Assumptions Tab</v>
      </c>
    </row>
    <row r="97" spans="1:14" s="24" customFormat="1">
      <c r="A97" s="27" t="s">
        <v>222</v>
      </c>
      <c r="B97" s="27"/>
      <c r="C97" s="177">
        <v>1</v>
      </c>
      <c r="D97" s="176">
        <v>1</v>
      </c>
      <c r="E97" s="176">
        <v>1</v>
      </c>
      <c r="F97" s="180"/>
      <c r="G97" s="180"/>
      <c r="H97" s="180"/>
      <c r="I97" s="180"/>
      <c r="J97" s="180"/>
      <c r="K97" s="180"/>
      <c r="L97" s="176"/>
      <c r="M97" s="24" t="s">
        <v>247</v>
      </c>
      <c r="N97" s="157" t="str">
        <f>IF(nr_supp_staff_district_m_s="","Enter the expected number of support staff (mentors) per site mentorship and supervision visit","See Notes &amp; Assumptions Tab")</f>
        <v>See Notes &amp; Assumptions Tab</v>
      </c>
    </row>
    <row r="98" spans="1:14" s="24" customFormat="1">
      <c r="A98" s="94" t="s">
        <v>354</v>
      </c>
      <c r="B98" s="94"/>
      <c r="C98" s="177">
        <f>nr_nat_staff_regional_m_s+nr_supp_staff_regional_m_s</f>
        <v>3</v>
      </c>
      <c r="D98" s="176">
        <v>3</v>
      </c>
      <c r="E98" s="176">
        <v>3</v>
      </c>
      <c r="F98" s="180"/>
      <c r="G98" s="180"/>
      <c r="H98" s="180"/>
      <c r="I98" s="180"/>
      <c r="J98" s="180"/>
      <c r="K98" s="180"/>
      <c r="L98" s="176"/>
      <c r="M98" s="24" t="s">
        <v>248</v>
      </c>
      <c r="N98" s="157" t="str">
        <f>IF(nr_staff_hotel_district_m_s="","Enter the expected number of regional/provincial staff (mentors + support staff) requiring accommodation per site mentorship and supervision visit","See Notes &amp; Assumptions Tab")</f>
        <v>See Notes &amp; Assumptions Tab</v>
      </c>
    </row>
    <row r="99" spans="1:14" s="24" customFormat="1">
      <c r="A99" s="94" t="s">
        <v>114</v>
      </c>
      <c r="B99" s="94"/>
      <c r="C99" s="177">
        <v>0</v>
      </c>
      <c r="D99" s="176">
        <v>0</v>
      </c>
      <c r="E99" s="176">
        <v>0</v>
      </c>
      <c r="F99" s="180"/>
      <c r="G99" s="180"/>
      <c r="H99" s="180"/>
      <c r="I99" s="180"/>
      <c r="J99" s="180"/>
      <c r="K99" s="180"/>
      <c r="L99" s="176"/>
      <c r="N99" s="157" t="str">
        <f>IF(nr_staff_air_trans_district_m_s="","Enter the expected number of regional/provincial staff (mentors) requiring air travel per site mentorship and supervision visit","See Notes &amp; Assumptions Tab")</f>
        <v>See Notes &amp; Assumptions Tab</v>
      </c>
    </row>
    <row r="100" spans="1:14" s="24" customFormat="1">
      <c r="A100" s="154" t="s">
        <v>250</v>
      </c>
      <c r="B100" s="154"/>
      <c r="C100" s="183">
        <v>0.1</v>
      </c>
      <c r="D100" s="184">
        <v>0.1</v>
      </c>
      <c r="E100" s="184">
        <v>0.1</v>
      </c>
      <c r="F100" s="180"/>
      <c r="G100" s="180"/>
      <c r="H100" s="180"/>
      <c r="I100" s="180"/>
      <c r="J100" s="180"/>
      <c r="K100" s="180"/>
      <c r="L100" s="176"/>
      <c r="N100" s="157" t="str">
        <f>IF(prop_paed_TB_district="","Enter the proportion of time spent on paediatric TB per site mentorship and supervision visit from the region/province","See Notes &amp; Assumptions Tab")</f>
        <v>See Notes &amp; Assumptions Tab</v>
      </c>
    </row>
    <row r="101" spans="1:14" s="24" customFormat="1">
      <c r="A101" s="94"/>
      <c r="B101" s="94"/>
      <c r="C101" s="178"/>
      <c r="D101" s="182"/>
      <c r="E101" s="182"/>
      <c r="F101" s="182"/>
      <c r="G101" s="182"/>
      <c r="H101" s="182"/>
      <c r="I101" s="182"/>
      <c r="J101" s="182"/>
      <c r="K101" s="182"/>
      <c r="L101" s="179"/>
    </row>
    <row r="102" spans="1:14" ht="17" thickBot="1">
      <c r="A102" s="94"/>
      <c r="B102" s="94"/>
      <c r="C102" s="178"/>
      <c r="D102" s="182"/>
      <c r="E102" s="182"/>
      <c r="F102" s="182"/>
      <c r="G102" s="182"/>
      <c r="H102" s="182"/>
      <c r="I102" s="182"/>
      <c r="J102" s="182"/>
      <c r="K102" s="182"/>
      <c r="L102" s="179"/>
    </row>
    <row r="103" spans="1:14" s="24" customFormat="1">
      <c r="A103" s="25" t="s">
        <v>253</v>
      </c>
      <c r="B103" s="25"/>
      <c r="C103" s="173">
        <f>start_year</f>
        <v>2020</v>
      </c>
      <c r="D103" s="174">
        <f t="shared" ref="D103" si="56">C103+1</f>
        <v>2021</v>
      </c>
      <c r="E103" s="174">
        <f t="shared" ref="E103" si="57">D103+1</f>
        <v>2022</v>
      </c>
      <c r="F103" s="174">
        <f>E103+1</f>
        <v>2023</v>
      </c>
      <c r="G103" s="174">
        <f t="shared" ref="G103" si="58">F103+1</f>
        <v>2024</v>
      </c>
      <c r="H103" s="174">
        <f t="shared" ref="H103" si="59">G103+1</f>
        <v>2025</v>
      </c>
      <c r="I103" s="174">
        <f t="shared" ref="I103" si="60">H103+1</f>
        <v>2026</v>
      </c>
      <c r="J103" s="174">
        <f t="shared" ref="J103" si="61">I103+1</f>
        <v>2027</v>
      </c>
      <c r="K103" s="174">
        <f t="shared" ref="K103" si="62">J103+1</f>
        <v>2028</v>
      </c>
      <c r="L103" s="174">
        <f t="shared" ref="L103" si="63">K103+1</f>
        <v>2029</v>
      </c>
      <c r="M103" s="24" t="s">
        <v>236</v>
      </c>
      <c r="N103" s="156" t="s">
        <v>382</v>
      </c>
    </row>
    <row r="104" spans="1:14" s="24" customFormat="1">
      <c r="A104" s="29" t="s">
        <v>45</v>
      </c>
      <c r="B104" s="29"/>
      <c r="C104" s="177"/>
      <c r="D104" s="176"/>
      <c r="E104" s="176"/>
      <c r="F104" s="176"/>
      <c r="G104" s="176"/>
      <c r="H104" s="176"/>
      <c r="I104" s="176"/>
      <c r="J104" s="176"/>
      <c r="K104" s="176"/>
      <c r="L104" s="176"/>
      <c r="M104" s="24" t="s">
        <v>202</v>
      </c>
      <c r="N104" s="157" t="str">
        <f>IF(nr_districts_facility_m_s="","Enter the number of districts/subdistricts to provide site mentorship and supervision visits per year","See Notes &amp; Assumptions Tab")</f>
        <v>Enter the number of districts/subdistricts to provide site mentorship and supervision visits per year</v>
      </c>
    </row>
    <row r="105" spans="1:14" s="24" customFormat="1">
      <c r="A105" s="27" t="s">
        <v>46</v>
      </c>
      <c r="B105" s="27"/>
      <c r="C105" s="177"/>
      <c r="D105" s="176"/>
      <c r="E105" s="176"/>
      <c r="F105" s="176"/>
      <c r="G105" s="176"/>
      <c r="H105" s="176"/>
      <c r="I105" s="176"/>
      <c r="J105" s="176"/>
      <c r="K105" s="176"/>
      <c r="L105" s="176"/>
      <c r="M105" s="24" t="s">
        <v>237</v>
      </c>
      <c r="N105" s="157" t="str">
        <f>IF(nr_facilities_m_s="","Enter the number of facilities to receive site mentorship and supervision visits per district per year","See Notes &amp; Assumptions Tab")</f>
        <v>Enter the number of facilities to receive site mentorship and supervision visits per district per year</v>
      </c>
    </row>
    <row r="106" spans="1:14" s="24" customFormat="1">
      <c r="A106" s="94" t="s">
        <v>235</v>
      </c>
      <c r="B106" s="94"/>
      <c r="C106" s="177">
        <v>4</v>
      </c>
      <c r="D106" s="176">
        <v>4</v>
      </c>
      <c r="E106" s="176">
        <v>4</v>
      </c>
      <c r="F106" s="180"/>
      <c r="G106" s="180"/>
      <c r="H106" s="180"/>
      <c r="I106" s="180"/>
      <c r="J106" s="180"/>
      <c r="K106" s="180"/>
      <c r="L106" s="176"/>
      <c r="M106" s="24" t="s">
        <v>238</v>
      </c>
      <c r="N106" s="157" t="str">
        <f>IF(nr_visits_facility_m_s="","Enter the number of planned site mentorship and supervision visits per facility per year","See Notes &amp; Assumptions Tab")</f>
        <v>See Notes &amp; Assumptions Tab</v>
      </c>
    </row>
    <row r="107" spans="1:14" s="24" customFormat="1">
      <c r="A107" s="94" t="s">
        <v>104</v>
      </c>
      <c r="B107" s="94"/>
      <c r="C107" s="177">
        <v>1</v>
      </c>
      <c r="D107" s="176">
        <v>1</v>
      </c>
      <c r="E107" s="176">
        <v>1</v>
      </c>
      <c r="F107" s="180"/>
      <c r="G107" s="180"/>
      <c r="H107" s="180"/>
      <c r="I107" s="180"/>
      <c r="J107" s="180"/>
      <c r="K107" s="180"/>
      <c r="L107" s="176"/>
      <c r="M107" s="24" t="s">
        <v>239</v>
      </c>
      <c r="N107" s="157" t="str">
        <f>IF(nr_days_facility_m_s="","Enter the duration of each site mentorship and supervision visit per facility (in days)","See Notes &amp; Assumptions Tab")</f>
        <v>See Notes &amp; Assumptions Tab</v>
      </c>
    </row>
    <row r="108" spans="1:14" s="24" customFormat="1">
      <c r="A108" s="27" t="s">
        <v>249</v>
      </c>
      <c r="B108" s="27"/>
      <c r="C108" s="177">
        <v>2</v>
      </c>
      <c r="D108" s="176">
        <v>2</v>
      </c>
      <c r="E108" s="176">
        <v>2</v>
      </c>
      <c r="F108" s="180"/>
      <c r="G108" s="180"/>
      <c r="H108" s="180"/>
      <c r="I108" s="180"/>
      <c r="J108" s="180"/>
      <c r="K108" s="180"/>
      <c r="L108" s="176"/>
      <c r="M108" s="24" t="s">
        <v>240</v>
      </c>
      <c r="N108" s="157" t="str">
        <f>IF(nr_district_staff_facility_m_s="","Enter the expected number of district staff (mentors) per site mentorship and supervision visit","See Notes &amp; Assumptions Tab")</f>
        <v>See Notes &amp; Assumptions Tab</v>
      </c>
    </row>
    <row r="109" spans="1:14" s="24" customFormat="1">
      <c r="A109" s="27" t="s">
        <v>222</v>
      </c>
      <c r="B109" s="27"/>
      <c r="C109" s="177">
        <v>1</v>
      </c>
      <c r="D109" s="176">
        <v>1</v>
      </c>
      <c r="E109" s="176">
        <v>1</v>
      </c>
      <c r="F109" s="180"/>
      <c r="G109" s="180"/>
      <c r="H109" s="180"/>
      <c r="I109" s="180"/>
      <c r="J109" s="180"/>
      <c r="K109" s="180"/>
      <c r="L109" s="176"/>
      <c r="M109" s="24" t="s">
        <v>241</v>
      </c>
      <c r="N109" s="157" t="str">
        <f>IF(nr_supp_staff_facility_m_s="","Enter the expected number of support staff (district) per site mentorship and supervision visit","See Notes &amp; Assumptions Tab")</f>
        <v>See Notes &amp; Assumptions Tab</v>
      </c>
    </row>
    <row r="110" spans="1:14" s="24" customFormat="1">
      <c r="A110" s="94" t="s">
        <v>354</v>
      </c>
      <c r="B110" s="94"/>
      <c r="C110" s="177">
        <f>nr_nat_staff_regional_m_s+nr_supp_staff_regional_m_s</f>
        <v>3</v>
      </c>
      <c r="D110" s="176">
        <v>3</v>
      </c>
      <c r="E110" s="176">
        <v>3</v>
      </c>
      <c r="F110" s="180"/>
      <c r="G110" s="180"/>
      <c r="H110" s="180"/>
      <c r="I110" s="180"/>
      <c r="J110" s="180"/>
      <c r="K110" s="180"/>
      <c r="L110" s="176"/>
      <c r="N110" s="157" t="str">
        <f>IF(nr_staff_hotel_facility_m_s="","Enter the expected number of district staff (mentors + support staff) requiring accommodation per site mentorship and supervision visit","See Notes &amp; Assumptions Tab")</f>
        <v>See Notes &amp; Assumptions Tab</v>
      </c>
    </row>
    <row r="111" spans="1:14" s="24" customFormat="1">
      <c r="A111" s="154" t="s">
        <v>250</v>
      </c>
      <c r="B111" s="154"/>
      <c r="C111" s="183">
        <v>0.1</v>
      </c>
      <c r="D111" s="239">
        <v>0.1</v>
      </c>
      <c r="E111" s="239">
        <v>0.1</v>
      </c>
      <c r="F111" s="239"/>
      <c r="G111" s="239"/>
      <c r="H111" s="239"/>
      <c r="I111" s="239"/>
      <c r="J111" s="239"/>
      <c r="K111" s="239"/>
      <c r="L111" s="239"/>
      <c r="N111" s="157" t="str">
        <f>IF(prop_paed_TB_facility="","Enter the proportion of time spent on paediatric TB per site mentorship and supervision visit","See Notes &amp; Assumptions Tab")</f>
        <v>See Notes &amp; Assumptions Tab</v>
      </c>
    </row>
    <row r="112" spans="1:14" s="24" customFormat="1">
      <c r="A112" s="94"/>
      <c r="B112" s="178"/>
      <c r="C112" s="182"/>
      <c r="D112" s="182"/>
      <c r="E112" s="182"/>
      <c r="F112" s="182"/>
      <c r="G112" s="182"/>
      <c r="H112" s="182"/>
      <c r="I112" s="182"/>
      <c r="J112" s="182"/>
      <c r="K112" s="179"/>
    </row>
    <row r="113" spans="1:12">
      <c r="A113" s="24"/>
      <c r="B113" s="24"/>
      <c r="C113" s="24"/>
      <c r="D113" s="24"/>
      <c r="E113" s="24"/>
      <c r="F113" s="24"/>
      <c r="G113" s="24"/>
      <c r="H113" s="24"/>
      <c r="I113" s="24"/>
      <c r="J113" s="24"/>
      <c r="K113" s="24"/>
      <c r="L113" s="24"/>
    </row>
    <row r="114" spans="1:12">
      <c r="B114" s="158"/>
    </row>
  </sheetData>
  <mergeCells count="2">
    <mergeCell ref="A2:T2"/>
    <mergeCell ref="A3:N3"/>
  </mergeCells>
  <hyperlinks>
    <hyperlink ref="K13" r:id="rId1" display="https://www.xe.com/currencytables/ "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FFFF00"/>
  </sheetPr>
  <dimension ref="A1:H100"/>
  <sheetViews>
    <sheetView showGridLines="0" workbookViewId="0">
      <pane ySplit="21" topLeftCell="A46" activePane="bottomLeft" state="frozen"/>
      <selection pane="bottomLeft" activeCell="F47" sqref="F47"/>
    </sheetView>
  </sheetViews>
  <sheetFormatPr baseColWidth="10" defaultColWidth="6.1640625" defaultRowHeight="13"/>
  <cols>
    <col min="1" max="1" width="11.5" style="55" customWidth="1"/>
    <col min="2" max="2" width="65.6640625" style="55" bestFit="1" customWidth="1"/>
    <col min="3" max="3" width="40.33203125" style="55" bestFit="1" customWidth="1"/>
    <col min="4" max="4" width="24.33203125" style="55" bestFit="1" customWidth="1"/>
    <col min="5" max="5" width="32.83203125" style="55" bestFit="1" customWidth="1"/>
    <col min="6" max="6" width="19.5" style="55" customWidth="1"/>
    <col min="7" max="7" width="19.1640625" style="55" customWidth="1"/>
    <col min="8" max="8" width="36" style="56" bestFit="1" customWidth="1"/>
    <col min="9" max="16384" width="6.1640625" style="55"/>
  </cols>
  <sheetData>
    <row r="1" spans="2:8" ht="4.25" customHeight="1">
      <c r="D1" s="55" t="s">
        <v>52</v>
      </c>
    </row>
    <row r="4" spans="2:8" s="112" customFormat="1" ht="22">
      <c r="B4" s="111" t="str">
        <f>"Unit costs for "  &amp;  country_name</f>
        <v xml:space="preserve">Unit costs for </v>
      </c>
      <c r="C4" s="89"/>
      <c r="D4" s="88"/>
      <c r="H4" s="113"/>
    </row>
    <row r="5" spans="2:8" ht="14.25" customHeight="1">
      <c r="B5" s="261" t="s">
        <v>403</v>
      </c>
      <c r="C5" s="261"/>
      <c r="D5" s="261"/>
      <c r="E5" s="261"/>
      <c r="F5" s="261"/>
      <c r="G5" s="261"/>
      <c r="H5" s="261"/>
    </row>
    <row r="6" spans="2:8" ht="14.25" customHeight="1">
      <c r="B6" s="261"/>
      <c r="C6" s="261"/>
      <c r="D6" s="261"/>
      <c r="E6" s="261"/>
      <c r="F6" s="261"/>
      <c r="G6" s="261"/>
      <c r="H6" s="261"/>
    </row>
    <row r="7" spans="2:8">
      <c r="B7" s="261"/>
      <c r="C7" s="261"/>
      <c r="D7" s="261"/>
      <c r="E7" s="261"/>
      <c r="F7" s="261"/>
      <c r="G7" s="261"/>
      <c r="H7" s="261"/>
    </row>
    <row r="8" spans="2:8" ht="14.25" customHeight="1">
      <c r="B8" s="57"/>
      <c r="C8" s="57"/>
      <c r="D8" s="57"/>
    </row>
    <row r="9" spans="2:8" ht="14.25" customHeight="1">
      <c r="B9" s="58"/>
      <c r="C9" s="58"/>
      <c r="D9" s="57"/>
    </row>
    <row r="10" spans="2:8">
      <c r="B10" s="58"/>
      <c r="C10" s="58"/>
    </row>
    <row r="11" spans="2:8">
      <c r="B11" s="59"/>
      <c r="C11" s="59"/>
    </row>
    <row r="12" spans="2:8" ht="16">
      <c r="B12" s="219" t="s">
        <v>53</v>
      </c>
      <c r="C12" s="68"/>
      <c r="E12" s="60"/>
    </row>
    <row r="13" spans="2:8" ht="14">
      <c r="B13" s="218" t="s">
        <v>402</v>
      </c>
      <c r="C13" s="70"/>
      <c r="D13" s="70"/>
      <c r="F13" s="69"/>
    </row>
    <row r="14" spans="2:8" ht="16">
      <c r="B14" s="63" t="s">
        <v>191</v>
      </c>
      <c r="C14" s="216" t="s">
        <v>54</v>
      </c>
      <c r="D14" s="56"/>
      <c r="E14" s="216"/>
    </row>
    <row r="15" spans="2:8" ht="16">
      <c r="B15" s="54" t="s">
        <v>78</v>
      </c>
      <c r="C15" s="215" t="s">
        <v>55</v>
      </c>
      <c r="D15" s="91">
        <f>_xch</f>
        <v>20</v>
      </c>
      <c r="E15" s="215"/>
    </row>
    <row r="16" spans="2:8" ht="15">
      <c r="B16" s="54" t="s">
        <v>80</v>
      </c>
      <c r="C16" s="71"/>
      <c r="D16" s="56"/>
      <c r="E16" s="68"/>
      <c r="F16" s="109"/>
      <c r="G16" s="109"/>
    </row>
    <row r="17" spans="1:8" ht="15">
      <c r="B17" s="54" t="s">
        <v>83</v>
      </c>
      <c r="C17" s="71"/>
      <c r="D17" s="72"/>
      <c r="E17" s="68"/>
      <c r="F17" s="109"/>
      <c r="G17" s="109"/>
    </row>
    <row r="18" spans="1:8" ht="15">
      <c r="B18" s="54" t="s">
        <v>85</v>
      </c>
      <c r="C18" s="71"/>
      <c r="D18" s="72"/>
      <c r="E18" s="68"/>
      <c r="F18" s="109"/>
      <c r="G18" s="109"/>
    </row>
    <row r="19" spans="1:8" s="31" customFormat="1" ht="34">
      <c r="B19" s="67" t="s">
        <v>56</v>
      </c>
      <c r="C19" s="67" t="s">
        <v>67</v>
      </c>
      <c r="D19" s="67" t="s">
        <v>57</v>
      </c>
      <c r="E19" s="67" t="s">
        <v>448</v>
      </c>
      <c r="F19" s="114" t="str">
        <f>"User defined unit cost ("&amp;local_currency&amp;")"</f>
        <v>User defined unit cost (ZWL)</v>
      </c>
      <c r="G19" s="114" t="s">
        <v>326</v>
      </c>
      <c r="H19" s="114" t="s">
        <v>97</v>
      </c>
    </row>
    <row r="20" spans="1:8" s="75" customFormat="1" ht="12.5" customHeight="1">
      <c r="H20" s="78"/>
    </row>
    <row r="21" spans="1:8" s="75" customFormat="1" ht="16">
      <c r="A21" s="68"/>
      <c r="B21" s="87" t="s">
        <v>58</v>
      </c>
      <c r="C21" s="73"/>
      <c r="D21" s="74"/>
      <c r="E21" s="74"/>
      <c r="F21" s="74"/>
      <c r="G21" s="74"/>
      <c r="H21" s="79"/>
    </row>
    <row r="22" spans="1:8" s="75" customFormat="1" ht="12.5" customHeight="1">
      <c r="B22" s="76"/>
      <c r="C22" s="76"/>
      <c r="D22" s="76"/>
      <c r="E22" s="76"/>
      <c r="F22" s="76"/>
      <c r="G22" s="76"/>
      <c r="H22" s="77"/>
    </row>
    <row r="23" spans="1:8" s="96" customFormat="1" ht="12.5" customHeight="1">
      <c r="H23" s="97"/>
    </row>
    <row r="24" spans="1:8" s="96" customFormat="1" ht="12.5" customHeight="1">
      <c r="B24" s="76" t="s">
        <v>191</v>
      </c>
      <c r="C24" s="76"/>
      <c r="D24" s="76"/>
      <c r="E24" s="76"/>
      <c r="F24" s="62"/>
      <c r="G24" s="62"/>
      <c r="H24" s="62"/>
    </row>
    <row r="25" spans="1:8" s="96" customFormat="1" ht="14">
      <c r="B25" s="80" t="s">
        <v>192</v>
      </c>
      <c r="C25" s="81" t="s">
        <v>59</v>
      </c>
      <c r="D25" s="82"/>
      <c r="E25" s="95" t="s">
        <v>196</v>
      </c>
      <c r="F25" s="110"/>
      <c r="G25" s="110"/>
      <c r="H25" s="220" t="str">
        <f>IF(F25&gt;0,F25/_xch,IF(G25&gt;0,G25,"Enter unit cost in one of the YELLOW cells"))</f>
        <v>Enter unit cost in one of the YELLOW cells</v>
      </c>
    </row>
    <row r="26" spans="1:8" s="96" customFormat="1" ht="12.5" customHeight="1">
      <c r="B26" s="80" t="s">
        <v>194</v>
      </c>
      <c r="C26" s="81" t="s">
        <v>59</v>
      </c>
      <c r="D26" s="82"/>
      <c r="E26" s="95" t="s">
        <v>197</v>
      </c>
      <c r="F26" s="110"/>
      <c r="G26" s="110"/>
      <c r="H26" s="220" t="str">
        <f>IF(F26&gt;0,F26/_xch,IF(G26&gt;0,G26,"Enter unit cost in one of the YELLOW cells"))</f>
        <v>Enter unit cost in one of the YELLOW cells</v>
      </c>
    </row>
    <row r="27" spans="1:8" s="75" customFormat="1" ht="12.5" customHeight="1">
      <c r="B27" s="85"/>
      <c r="C27" s="83"/>
      <c r="D27" s="86"/>
      <c r="E27" s="83"/>
      <c r="F27" s="83"/>
      <c r="G27" s="83"/>
      <c r="H27" s="90"/>
    </row>
    <row r="28" spans="1:8" s="96" customFormat="1" ht="12.5" customHeight="1">
      <c r="B28" s="80" t="s">
        <v>195</v>
      </c>
      <c r="C28" s="81" t="s">
        <v>63</v>
      </c>
      <c r="D28" s="82"/>
      <c r="E28" s="95" t="s">
        <v>198</v>
      </c>
      <c r="F28" s="110"/>
      <c r="G28" s="110"/>
      <c r="H28" s="220" t="str">
        <f>IF(F28&gt;0,F28/_xch,IF(G28&gt;0,G28,"Enter unit cost in one of the YELLOW cells"))</f>
        <v>Enter unit cost in one of the YELLOW cells</v>
      </c>
    </row>
    <row r="29" spans="1:8" s="96" customFormat="1" ht="12.5" customHeight="1">
      <c r="B29" s="80" t="s">
        <v>62</v>
      </c>
      <c r="C29" s="81" t="s">
        <v>63</v>
      </c>
      <c r="D29" s="82"/>
      <c r="E29" s="95" t="s">
        <v>199</v>
      </c>
      <c r="F29" s="110"/>
      <c r="G29" s="110"/>
      <c r="H29" s="220" t="str">
        <f>IF(F29&gt;0,F29/_xch,IF(G29&gt;0,G29,"Enter unit cost in one of the YELLOW cells"))</f>
        <v>Enter unit cost in one of the YELLOW cells</v>
      </c>
    </row>
    <row r="30" spans="1:8" s="96" customFormat="1" ht="12.5" customHeight="1">
      <c r="B30" s="80" t="s">
        <v>193</v>
      </c>
      <c r="C30" s="83" t="s">
        <v>63</v>
      </c>
      <c r="D30" s="86"/>
      <c r="E30" s="95" t="s">
        <v>200</v>
      </c>
      <c r="F30" s="110"/>
      <c r="G30" s="110"/>
      <c r="H30" s="220" t="str">
        <f>IF(F30&gt;0,F30/_xch,IF(G30&gt;0,G30,"Enter unit cost in one of the YELLOW cells"))</f>
        <v>Enter unit cost in one of the YELLOW cells</v>
      </c>
    </row>
    <row r="31" spans="1:8" s="96" customFormat="1" ht="12.5" customHeight="1">
      <c r="B31" s="80" t="s">
        <v>117</v>
      </c>
      <c r="C31" s="81" t="s">
        <v>66</v>
      </c>
      <c r="D31" s="82"/>
      <c r="E31" s="95" t="s">
        <v>276</v>
      </c>
      <c r="F31" s="110"/>
      <c r="G31" s="110"/>
      <c r="H31" s="220" t="str">
        <f>IF(F31&gt;0,F31/_xch,IF(G31&gt;0,G31,"Enter unit cost in one of the YELLOW cells"))</f>
        <v>Enter unit cost in one of the YELLOW cells</v>
      </c>
    </row>
    <row r="32" spans="1:8" s="96" customFormat="1" ht="12.5" customHeight="1">
      <c r="B32" s="85" t="s">
        <v>64</v>
      </c>
      <c r="C32" s="83" t="s">
        <v>63</v>
      </c>
      <c r="D32" s="86"/>
      <c r="E32" s="95" t="s">
        <v>281</v>
      </c>
      <c r="F32" s="110"/>
      <c r="G32" s="110"/>
      <c r="H32" s="220" t="str">
        <f>IF(F32&gt;0,F32/_xch,IF(G32&gt;0,G32,"Enter unit cost in one of the YELLOW cells"))</f>
        <v>Enter unit cost in one of the YELLOW cells</v>
      </c>
    </row>
    <row r="33" spans="2:8" s="96" customFormat="1" ht="12.5" customHeight="1">
      <c r="B33" s="64"/>
      <c r="C33" s="65"/>
      <c r="D33" s="66"/>
      <c r="E33" s="61"/>
      <c r="F33" s="61"/>
      <c r="G33" s="61"/>
      <c r="H33" s="90"/>
    </row>
    <row r="34" spans="2:8" s="75" customFormat="1" ht="12.5" customHeight="1">
      <c r="B34" s="76" t="s">
        <v>78</v>
      </c>
      <c r="C34" s="76"/>
      <c r="D34" s="76"/>
      <c r="E34" s="76"/>
      <c r="F34" s="76"/>
      <c r="G34" s="76"/>
      <c r="H34" s="76"/>
    </row>
    <row r="35" spans="2:8" s="75" customFormat="1" ht="12.5" customHeight="1">
      <c r="B35" s="80" t="s">
        <v>79</v>
      </c>
      <c r="C35" s="81" t="s">
        <v>59</v>
      </c>
      <c r="D35" s="82"/>
      <c r="E35" s="95" t="s">
        <v>98</v>
      </c>
      <c r="F35" s="110"/>
      <c r="G35" s="110"/>
      <c r="H35" s="220" t="str">
        <f>IF(F35&gt;0,F35/_xch,IF(G35&gt;0,G35,"Enter unit cost in one of the YELLOW cells"))</f>
        <v>Enter unit cost in one of the YELLOW cells</v>
      </c>
    </row>
    <row r="36" spans="2:8" s="75" customFormat="1" ht="12.5" customHeight="1">
      <c r="B36" s="80" t="s">
        <v>69</v>
      </c>
      <c r="C36" s="81" t="s">
        <v>59</v>
      </c>
      <c r="D36" s="82"/>
      <c r="E36" s="95" t="s">
        <v>99</v>
      </c>
      <c r="F36" s="110"/>
      <c r="G36" s="110"/>
      <c r="H36" s="220" t="str">
        <f>IF(F36&gt;0,F36/_xch,IF(G36&gt;0,G36,"Enter unit cost in one of the YELLOW cells"))</f>
        <v>Enter unit cost in one of the YELLOW cells</v>
      </c>
    </row>
    <row r="37" spans="2:8" s="75" customFormat="1" ht="12.5" customHeight="1">
      <c r="B37" s="80" t="s">
        <v>70</v>
      </c>
      <c r="C37" s="81" t="s">
        <v>59</v>
      </c>
      <c r="D37" s="82"/>
      <c r="E37" s="95" t="s">
        <v>100</v>
      </c>
      <c r="F37" s="110"/>
      <c r="G37" s="110"/>
      <c r="H37" s="220" t="str">
        <f>IF(F37&gt;0,F37/_xch,IF(G37&gt;0,G37,"Enter unit cost in one of the YELLOW cells"))</f>
        <v>Enter unit cost in one of the YELLOW cells</v>
      </c>
    </row>
    <row r="38" spans="2:8" s="75" customFormat="1" ht="12.5" customHeight="1">
      <c r="B38" s="80" t="s">
        <v>277</v>
      </c>
      <c r="C38" s="81" t="s">
        <v>59</v>
      </c>
      <c r="D38" s="82"/>
      <c r="E38" s="95" t="s">
        <v>278</v>
      </c>
      <c r="F38" s="110"/>
      <c r="G38" s="110"/>
      <c r="H38" s="220" t="str">
        <f>IF(F38&gt;0,F38/_xch,IF(G38&gt;0,G38,"Enter unit cost in one of the YELLOW cells"))</f>
        <v>Enter unit cost in one of the YELLOW cells</v>
      </c>
    </row>
    <row r="39" spans="2:8" s="75" customFormat="1" ht="12.5" customHeight="1">
      <c r="B39" s="80" t="s">
        <v>279</v>
      </c>
      <c r="C39" s="81" t="s">
        <v>59</v>
      </c>
      <c r="D39" s="82"/>
      <c r="E39" s="95" t="s">
        <v>280</v>
      </c>
      <c r="F39" s="110"/>
      <c r="G39" s="110"/>
      <c r="H39" s="220" t="str">
        <f>IF(F39&gt;0,F39/_xch,IF(G39&gt;0,G39,"Enter unit cost in one of the YELLOW cells"))</f>
        <v>Enter unit cost in one of the YELLOW cells</v>
      </c>
    </row>
    <row r="40" spans="2:8" s="75" customFormat="1" ht="12.5" customHeight="1">
      <c r="B40" s="85"/>
      <c r="C40" s="83"/>
      <c r="D40" s="86"/>
      <c r="E40" s="83"/>
      <c r="F40" s="83"/>
      <c r="G40" s="83"/>
      <c r="H40" s="90"/>
    </row>
    <row r="41" spans="2:8" s="75" customFormat="1" ht="12.5" customHeight="1">
      <c r="B41" s="80" t="s">
        <v>286</v>
      </c>
      <c r="C41" s="81" t="s">
        <v>63</v>
      </c>
      <c r="D41" s="82"/>
      <c r="E41" s="95" t="s">
        <v>282</v>
      </c>
      <c r="F41" s="110"/>
      <c r="G41" s="110"/>
      <c r="H41" s="220" t="str">
        <f t="shared" ref="H41:H53" si="0">IF(F41&gt;0,F41/_xch,IF(G41&gt;0,G41,"Enter unit cost in one of the YELLOW cells"))</f>
        <v>Enter unit cost in one of the YELLOW cells</v>
      </c>
    </row>
    <row r="42" spans="2:8" s="75" customFormat="1" ht="12.5" customHeight="1">
      <c r="B42" s="85" t="s">
        <v>287</v>
      </c>
      <c r="C42" s="83" t="s">
        <v>63</v>
      </c>
      <c r="D42" s="86"/>
      <c r="E42" s="95" t="s">
        <v>283</v>
      </c>
      <c r="F42" s="110"/>
      <c r="G42" s="110"/>
      <c r="H42" s="220" t="str">
        <f t="shared" si="0"/>
        <v>Enter unit cost in one of the YELLOW cells</v>
      </c>
    </row>
    <row r="43" spans="2:8" s="75" customFormat="1" ht="12.5" customHeight="1">
      <c r="B43" s="80" t="s">
        <v>288</v>
      </c>
      <c r="C43" s="81" t="s">
        <v>63</v>
      </c>
      <c r="D43" s="82"/>
      <c r="E43" s="95" t="s">
        <v>284</v>
      </c>
      <c r="F43" s="110"/>
      <c r="G43" s="110"/>
      <c r="H43" s="220" t="str">
        <f t="shared" si="0"/>
        <v>Enter unit cost in one of the YELLOW cells</v>
      </c>
    </row>
    <row r="44" spans="2:8" s="75" customFormat="1" ht="12.5" customHeight="1">
      <c r="B44" s="85" t="s">
        <v>115</v>
      </c>
      <c r="C44" s="83" t="s">
        <v>112</v>
      </c>
      <c r="D44" s="86"/>
      <c r="E44" s="95" t="s">
        <v>113</v>
      </c>
      <c r="F44" s="110"/>
      <c r="G44" s="110"/>
      <c r="H44" s="220" t="str">
        <f t="shared" si="0"/>
        <v>Enter unit cost in one of the YELLOW cells</v>
      </c>
    </row>
    <row r="45" spans="2:8" s="75" customFormat="1" ht="12.5" customHeight="1">
      <c r="B45" s="80" t="s">
        <v>62</v>
      </c>
      <c r="C45" s="81" t="s">
        <v>63</v>
      </c>
      <c r="D45" s="82"/>
      <c r="E45" s="95" t="s">
        <v>126</v>
      </c>
      <c r="F45" s="110"/>
      <c r="G45" s="110"/>
      <c r="H45" s="220" t="str">
        <f t="shared" si="0"/>
        <v>Enter unit cost in one of the YELLOW cells</v>
      </c>
    </row>
    <row r="46" spans="2:8" s="75" customFormat="1" ht="12.5" customHeight="1">
      <c r="B46" s="85" t="s">
        <v>64</v>
      </c>
      <c r="C46" s="83" t="s">
        <v>63</v>
      </c>
      <c r="D46" s="86"/>
      <c r="E46" s="95" t="s">
        <v>125</v>
      </c>
      <c r="F46" s="110"/>
      <c r="G46" s="110"/>
      <c r="H46" s="220" t="str">
        <f t="shared" si="0"/>
        <v>Enter unit cost in one of the YELLOW cells</v>
      </c>
    </row>
    <row r="47" spans="2:8" s="75" customFormat="1" ht="12.5" customHeight="1">
      <c r="B47" s="80" t="s">
        <v>128</v>
      </c>
      <c r="C47" s="81" t="s">
        <v>112</v>
      </c>
      <c r="D47" s="82"/>
      <c r="E47" s="95" t="s">
        <v>127</v>
      </c>
      <c r="F47" s="110"/>
      <c r="G47" s="110"/>
      <c r="H47" s="220" t="str">
        <f t="shared" si="0"/>
        <v>Enter unit cost in one of the YELLOW cells</v>
      </c>
    </row>
    <row r="48" spans="2:8" s="75" customFormat="1" ht="12.5" customHeight="1">
      <c r="B48" s="80" t="s">
        <v>105</v>
      </c>
      <c r="C48" s="81" t="s">
        <v>63</v>
      </c>
      <c r="D48" s="82"/>
      <c r="E48" s="95" t="s">
        <v>106</v>
      </c>
      <c r="F48" s="110"/>
      <c r="G48" s="110"/>
      <c r="H48" s="220" t="str">
        <f t="shared" si="0"/>
        <v>Enter unit cost in one of the YELLOW cells</v>
      </c>
    </row>
    <row r="49" spans="2:8" s="75" customFormat="1" ht="12.5" customHeight="1">
      <c r="B49" s="80" t="s">
        <v>107</v>
      </c>
      <c r="C49" s="81" t="s">
        <v>108</v>
      </c>
      <c r="D49" s="82"/>
      <c r="E49" s="95" t="s">
        <v>109</v>
      </c>
      <c r="F49" s="110"/>
      <c r="G49" s="110"/>
      <c r="H49" s="220" t="str">
        <f t="shared" si="0"/>
        <v>Enter unit cost in one of the YELLOW cells</v>
      </c>
    </row>
    <row r="50" spans="2:8" s="75" customFormat="1" ht="12.5" customHeight="1">
      <c r="B50" s="80" t="s">
        <v>110</v>
      </c>
      <c r="C50" s="81" t="s">
        <v>63</v>
      </c>
      <c r="D50" s="82"/>
      <c r="E50" s="95" t="s">
        <v>111</v>
      </c>
      <c r="F50" s="110"/>
      <c r="G50" s="110"/>
      <c r="H50" s="220" t="str">
        <f t="shared" si="0"/>
        <v>Enter unit cost in one of the YELLOW cells</v>
      </c>
    </row>
    <row r="51" spans="2:8" s="75" customFormat="1" ht="12.5" customHeight="1">
      <c r="B51" s="80" t="s">
        <v>124</v>
      </c>
      <c r="C51" s="81" t="s">
        <v>112</v>
      </c>
      <c r="D51" s="82"/>
      <c r="E51" s="95" t="s">
        <v>285</v>
      </c>
      <c r="F51" s="110"/>
      <c r="G51" s="110"/>
      <c r="H51" s="220" t="str">
        <f t="shared" si="0"/>
        <v>Enter unit cost in one of the YELLOW cells</v>
      </c>
    </row>
    <row r="52" spans="2:8" s="75" customFormat="1" ht="12.5" customHeight="1">
      <c r="B52" s="80" t="s">
        <v>68</v>
      </c>
      <c r="C52" s="81" t="s">
        <v>290</v>
      </c>
      <c r="D52" s="82"/>
      <c r="E52" s="95" t="s">
        <v>291</v>
      </c>
      <c r="F52" s="110"/>
      <c r="G52" s="110"/>
      <c r="H52" s="220" t="str">
        <f t="shared" si="0"/>
        <v>Enter unit cost in one of the YELLOW cells</v>
      </c>
    </row>
    <row r="53" spans="2:8" s="75" customFormat="1" ht="12.5" customHeight="1">
      <c r="B53" s="80" t="s">
        <v>400</v>
      </c>
      <c r="C53" s="81" t="s">
        <v>112</v>
      </c>
      <c r="D53" s="82"/>
      <c r="E53" s="95" t="s">
        <v>401</v>
      </c>
      <c r="F53" s="110"/>
      <c r="G53" s="110"/>
      <c r="H53" s="220" t="str">
        <f t="shared" si="0"/>
        <v>Enter unit cost in one of the YELLOW cells</v>
      </c>
    </row>
    <row r="54" spans="2:8" s="75" customFormat="1" ht="12.5" customHeight="1">
      <c r="B54" s="85"/>
      <c r="C54" s="83"/>
      <c r="D54" s="86"/>
      <c r="E54" s="83"/>
      <c r="F54" s="83"/>
      <c r="G54" s="83"/>
      <c r="H54" s="90"/>
    </row>
    <row r="55" spans="2:8" s="75" customFormat="1" ht="10.25" customHeight="1">
      <c r="D55" s="84"/>
      <c r="H55" s="90"/>
    </row>
    <row r="56" spans="2:8" s="75" customFormat="1" ht="12.5" customHeight="1">
      <c r="B56" s="76" t="s">
        <v>80</v>
      </c>
      <c r="C56" s="76"/>
      <c r="D56" s="76"/>
      <c r="E56" s="76"/>
      <c r="F56" s="76"/>
      <c r="G56" s="76"/>
      <c r="H56" s="76"/>
    </row>
    <row r="57" spans="2:8" s="75" customFormat="1" ht="12.5" customHeight="1">
      <c r="B57" s="80" t="s">
        <v>81</v>
      </c>
      <c r="C57" s="81" t="s">
        <v>59</v>
      </c>
      <c r="D57" s="82"/>
      <c r="E57" s="95" t="s">
        <v>293</v>
      </c>
      <c r="F57" s="110"/>
      <c r="G57" s="110"/>
      <c r="H57" s="214" t="str">
        <f>IF(F57&gt;0,F57/_xch,IF(G57&gt;0,G57,"Enter unit cost in YELLOW cells"))</f>
        <v>Enter unit cost in YELLOW cells</v>
      </c>
    </row>
    <row r="58" spans="2:8" s="75" customFormat="1" ht="12.5" customHeight="1">
      <c r="B58" s="80" t="s">
        <v>292</v>
      </c>
      <c r="C58" s="81" t="s">
        <v>59</v>
      </c>
      <c r="D58" s="82"/>
      <c r="E58" s="95" t="s">
        <v>294</v>
      </c>
      <c r="F58" s="110"/>
      <c r="G58" s="110"/>
      <c r="H58" s="220" t="str">
        <f>IF(F58&gt;0,F58/_xch,IF(G58&gt;0,G58,"Enter unit cost in one of the YELLOW cells"))</f>
        <v>Enter unit cost in one of the YELLOW cells</v>
      </c>
    </row>
    <row r="59" spans="2:8" s="75" customFormat="1" ht="12.5" customHeight="1">
      <c r="B59" s="80" t="s">
        <v>82</v>
      </c>
      <c r="C59" s="81" t="s">
        <v>59</v>
      </c>
      <c r="D59" s="82"/>
      <c r="E59" s="95" t="s">
        <v>295</v>
      </c>
      <c r="F59" s="110"/>
      <c r="G59" s="110"/>
      <c r="H59" s="220" t="str">
        <f>IF(F59&gt;0,F59/_xch,IF(G59&gt;0,G59,"Enter unit cost in one of the YELLOW cells"))</f>
        <v>Enter unit cost in one of the YELLOW cells</v>
      </c>
    </row>
    <row r="60" spans="2:8" s="75" customFormat="1" ht="12.5" customHeight="1">
      <c r="B60" s="80" t="s">
        <v>215</v>
      </c>
      <c r="C60" s="81" t="s">
        <v>59</v>
      </c>
      <c r="D60" s="82"/>
      <c r="E60" s="95" t="s">
        <v>296</v>
      </c>
      <c r="F60" s="110"/>
      <c r="G60" s="110"/>
      <c r="H60" s="220" t="str">
        <f>IF(F60&gt;0,F60/_xch,IF(G60&gt;0,G60,"Enter unit cost in one of the YELLOW cells"))</f>
        <v>Enter unit cost in one of the YELLOW cells</v>
      </c>
    </row>
    <row r="61" spans="2:8" s="75" customFormat="1" ht="12.5" customHeight="1">
      <c r="B61" s="85"/>
      <c r="C61" s="83"/>
      <c r="D61" s="86"/>
      <c r="E61" s="83"/>
      <c r="F61" s="83"/>
      <c r="G61" s="83"/>
      <c r="H61" s="90"/>
    </row>
    <row r="62" spans="2:8" s="75" customFormat="1" ht="12.5" customHeight="1">
      <c r="B62" s="80" t="s">
        <v>60</v>
      </c>
      <c r="C62" s="81" t="s">
        <v>61</v>
      </c>
      <c r="D62" s="82"/>
      <c r="E62" s="95" t="s">
        <v>297</v>
      </c>
      <c r="F62" s="110"/>
      <c r="G62" s="110"/>
      <c r="H62" s="220" t="str">
        <f>IF(F62&gt;0,F62/_xch,IF(G62&gt;0,G62,"Enter unit cost in one of the YELLOW cells"))</f>
        <v>Enter unit cost in one of the YELLOW cells</v>
      </c>
    </row>
    <row r="63" spans="2:8" s="75" customFormat="1" ht="12.5" customHeight="1">
      <c r="B63" s="80" t="s">
        <v>84</v>
      </c>
      <c r="C63" s="81" t="s">
        <v>61</v>
      </c>
      <c r="D63" s="82"/>
      <c r="E63" s="95" t="s">
        <v>298</v>
      </c>
      <c r="F63" s="110"/>
      <c r="G63" s="110"/>
      <c r="H63" s="220" t="str">
        <f>IF(F63&gt;0,F63/_xch,IF(G63&gt;0,G63,"Enter unit cost in one of the YELLOW cells"))</f>
        <v>Enter unit cost in one of the YELLOW cells</v>
      </c>
    </row>
    <row r="64" spans="2:8" s="75" customFormat="1" ht="12.5" customHeight="1">
      <c r="B64" s="80" t="s">
        <v>217</v>
      </c>
      <c r="C64" s="81" t="s">
        <v>218</v>
      </c>
      <c r="D64" s="82"/>
      <c r="E64" s="95" t="s">
        <v>299</v>
      </c>
      <c r="F64" s="110"/>
      <c r="G64" s="110"/>
      <c r="H64" s="220" t="str">
        <f>IF(F64&gt;0,F64/_xch,IF(G64&gt;0,G64,"Enter unit cost in one of the YELLOW cells"))</f>
        <v>Enter unit cost in one of the YELLOW cells</v>
      </c>
    </row>
    <row r="65" spans="2:8" s="75" customFormat="1" ht="12.5" customHeight="1">
      <c r="B65" s="85"/>
      <c r="C65" s="83"/>
      <c r="D65" s="86"/>
      <c r="E65" s="83"/>
      <c r="F65" s="83"/>
      <c r="G65" s="83"/>
      <c r="H65" s="90"/>
    </row>
    <row r="66" spans="2:8" s="75" customFormat="1" ht="12.5" customHeight="1">
      <c r="B66" s="80" t="s">
        <v>62</v>
      </c>
      <c r="C66" s="81" t="s">
        <v>63</v>
      </c>
      <c r="D66" s="82"/>
      <c r="E66" s="95" t="s">
        <v>300</v>
      </c>
      <c r="F66" s="110"/>
      <c r="G66" s="110"/>
      <c r="H66" s="220" t="str">
        <f t="shared" ref="H66:H71" si="1">IF(F66&gt;0,F66/_xch,IF(G66&gt;0,G66,"Enter unit cost in one of the YELLOW cells"))</f>
        <v>Enter unit cost in one of the YELLOW cells</v>
      </c>
    </row>
    <row r="67" spans="2:8" s="75" customFormat="1" ht="12.5" customHeight="1">
      <c r="B67" s="80" t="s">
        <v>64</v>
      </c>
      <c r="C67" s="81" t="s">
        <v>59</v>
      </c>
      <c r="D67" s="82"/>
      <c r="E67" s="95" t="s">
        <v>301</v>
      </c>
      <c r="F67" s="110"/>
      <c r="G67" s="110"/>
      <c r="H67" s="220" t="str">
        <f t="shared" si="1"/>
        <v>Enter unit cost in one of the YELLOW cells</v>
      </c>
    </row>
    <row r="68" spans="2:8" s="75" customFormat="1" ht="12.5" customHeight="1">
      <c r="B68" s="80" t="s">
        <v>73</v>
      </c>
      <c r="C68" s="81" t="s">
        <v>74</v>
      </c>
      <c r="D68" s="82"/>
      <c r="E68" s="95" t="s">
        <v>302</v>
      </c>
      <c r="F68" s="110"/>
      <c r="G68" s="110"/>
      <c r="H68" s="220" t="str">
        <f t="shared" si="1"/>
        <v>Enter unit cost in one of the YELLOW cells</v>
      </c>
    </row>
    <row r="69" spans="2:8" s="75" customFormat="1" ht="12.5" customHeight="1">
      <c r="B69" s="80" t="s">
        <v>65</v>
      </c>
      <c r="C69" s="81" t="s">
        <v>66</v>
      </c>
      <c r="D69" s="82"/>
      <c r="E69" s="95" t="s">
        <v>303</v>
      </c>
      <c r="F69" s="110"/>
      <c r="G69" s="110"/>
      <c r="H69" s="220" t="str">
        <f t="shared" si="1"/>
        <v>Enter unit cost in one of the YELLOW cells</v>
      </c>
    </row>
    <row r="70" spans="2:8" s="75" customFormat="1" ht="12.5" customHeight="1">
      <c r="B70" s="80" t="s">
        <v>117</v>
      </c>
      <c r="C70" s="81" t="s">
        <v>66</v>
      </c>
      <c r="D70" s="82"/>
      <c r="E70" s="95" t="s">
        <v>304</v>
      </c>
      <c r="F70" s="110"/>
      <c r="G70" s="110"/>
      <c r="H70" s="220" t="str">
        <f t="shared" si="1"/>
        <v>Enter unit cost in one of the YELLOW cells</v>
      </c>
    </row>
    <row r="71" spans="2:8" s="75" customFormat="1" ht="12.5" customHeight="1">
      <c r="B71" s="80" t="s">
        <v>118</v>
      </c>
      <c r="C71" s="81" t="s">
        <v>119</v>
      </c>
      <c r="D71" s="82"/>
      <c r="E71" s="95" t="s">
        <v>305</v>
      </c>
      <c r="F71" s="110"/>
      <c r="G71" s="110"/>
      <c r="H71" s="220" t="str">
        <f t="shared" si="1"/>
        <v>Enter unit cost in one of the YELLOW cells</v>
      </c>
    </row>
    <row r="72" spans="2:8" s="75" customFormat="1" ht="12.5" customHeight="1">
      <c r="H72" s="90"/>
    </row>
    <row r="73" spans="2:8" s="75" customFormat="1" ht="12.5" customHeight="1">
      <c r="B73" s="85"/>
      <c r="C73" s="83"/>
      <c r="D73" s="86"/>
      <c r="E73" s="83"/>
      <c r="F73" s="83"/>
      <c r="G73" s="83"/>
      <c r="H73" s="90"/>
    </row>
    <row r="74" spans="2:8" s="75" customFormat="1" ht="12.5" customHeight="1">
      <c r="B74" s="76" t="s">
        <v>83</v>
      </c>
      <c r="C74" s="76"/>
      <c r="D74" s="76"/>
      <c r="E74" s="76"/>
      <c r="F74" s="76"/>
      <c r="G74" s="76"/>
      <c r="H74" s="76"/>
    </row>
    <row r="75" spans="2:8" s="75" customFormat="1" ht="12.5" customHeight="1">
      <c r="B75" s="80" t="s">
        <v>71</v>
      </c>
      <c r="C75" s="81" t="s">
        <v>59</v>
      </c>
      <c r="D75" s="82"/>
      <c r="E75" s="95" t="s">
        <v>307</v>
      </c>
      <c r="F75" s="110"/>
      <c r="G75" s="110"/>
      <c r="H75" s="220" t="str">
        <f>IF(F75&gt;0,F75/_xch,IF(G75&gt;0,G75,"Enter unit cost in one of the YELLOW cells"))</f>
        <v>Enter unit cost in one of the YELLOW cells</v>
      </c>
    </row>
    <row r="76" spans="2:8" s="75" customFormat="1" ht="12.5" customHeight="1">
      <c r="B76" s="80" t="s">
        <v>81</v>
      </c>
      <c r="C76" s="81" t="s">
        <v>59</v>
      </c>
      <c r="D76" s="82"/>
      <c r="E76" s="95" t="s">
        <v>308</v>
      </c>
      <c r="F76" s="110"/>
      <c r="G76" s="110"/>
      <c r="H76" s="220" t="str">
        <f>IF(F76&gt;0,F76/_xch,IF(G76&gt;0,G76,"Enter unit cost in one of the YELLOW cells"))</f>
        <v>Enter unit cost in one of the YELLOW cells</v>
      </c>
    </row>
    <row r="77" spans="2:8" s="75" customFormat="1" ht="12.5" customHeight="1">
      <c r="B77" s="85"/>
      <c r="C77" s="83"/>
      <c r="D77" s="86"/>
      <c r="E77" s="83"/>
      <c r="F77" s="83"/>
      <c r="G77" s="83"/>
      <c r="H77" s="90"/>
    </row>
    <row r="78" spans="2:8" s="75" customFormat="1" ht="12.5" customHeight="1">
      <c r="B78" s="80" t="s">
        <v>84</v>
      </c>
      <c r="C78" s="81" t="s">
        <v>75</v>
      </c>
      <c r="D78" s="82"/>
      <c r="E78" s="95" t="s">
        <v>309</v>
      </c>
      <c r="F78" s="110"/>
      <c r="G78" s="110"/>
      <c r="H78" s="220" t="str">
        <f>IF(F78&gt;0,F78/_xch,IF(G78&gt;0,G78,"Enter unit cost in one of the YELLOW cells"))</f>
        <v>Enter unit cost in one of the YELLOW cells</v>
      </c>
    </row>
    <row r="79" spans="2:8" s="75" customFormat="1" ht="12.5" customHeight="1">
      <c r="B79" s="80" t="s">
        <v>72</v>
      </c>
      <c r="C79" s="81" t="s">
        <v>61</v>
      </c>
      <c r="D79" s="82"/>
      <c r="E79" s="95" t="s">
        <v>310</v>
      </c>
      <c r="F79" s="110"/>
      <c r="G79" s="110"/>
      <c r="H79" s="220" t="str">
        <f>IF(F79&gt;0,F79/_xch,IF(G79&gt;0,G79,"Enter unit cost in one of the YELLOW cells"))</f>
        <v>Enter unit cost in one of the YELLOW cells</v>
      </c>
    </row>
    <row r="80" spans="2:8" s="75" customFormat="1" ht="12.5" customHeight="1">
      <c r="B80" s="85"/>
      <c r="C80" s="83"/>
      <c r="D80" s="86"/>
      <c r="E80" s="83"/>
      <c r="F80" s="83"/>
      <c r="G80" s="83"/>
      <c r="H80" s="90"/>
    </row>
    <row r="81" spans="2:8" s="75" customFormat="1" ht="12.5" customHeight="1">
      <c r="B81" s="80" t="s">
        <v>62</v>
      </c>
      <c r="C81" s="81" t="s">
        <v>63</v>
      </c>
      <c r="D81" s="82"/>
      <c r="E81" s="95" t="s">
        <v>101</v>
      </c>
      <c r="F81" s="110"/>
      <c r="G81" s="110"/>
      <c r="H81" s="220" t="str">
        <f>IF(F81&gt;0,F81/_xch,IF(G81&gt;0,G81,"Enter unit cost in one of the YELLOW cells"))</f>
        <v>Enter unit cost in one of the YELLOW cells</v>
      </c>
    </row>
    <row r="82" spans="2:8" s="75" customFormat="1" ht="12.5" customHeight="1">
      <c r="B82" s="80" t="s">
        <v>64</v>
      </c>
      <c r="C82" s="81" t="s">
        <v>59</v>
      </c>
      <c r="D82" s="82"/>
      <c r="E82" s="95" t="s">
        <v>121</v>
      </c>
      <c r="F82" s="110"/>
      <c r="G82" s="110"/>
      <c r="H82" s="220" t="str">
        <f>IF(F82&gt;0,F82/_xch,IF(G82&gt;0,G82,"Enter unit cost in one of the YELLOW cells"))</f>
        <v>Enter unit cost in one of the YELLOW cells</v>
      </c>
    </row>
    <row r="83" spans="2:8" s="75" customFormat="1" ht="12.5" customHeight="1">
      <c r="B83" s="80" t="s">
        <v>86</v>
      </c>
      <c r="C83" s="81" t="s">
        <v>76</v>
      </c>
      <c r="D83" s="82"/>
      <c r="E83" s="95" t="s">
        <v>102</v>
      </c>
      <c r="F83" s="110"/>
      <c r="G83" s="110"/>
      <c r="H83" s="220" t="str">
        <f>IF(F83&gt;0,F83/_xch,IF(G83&gt;0,G83,"Enter unit cost in one of the YELLOW cells"))</f>
        <v>Enter unit cost in one of the YELLOW cells</v>
      </c>
    </row>
    <row r="84" spans="2:8" s="75" customFormat="1" ht="12.5" customHeight="1">
      <c r="B84" s="80" t="s">
        <v>65</v>
      </c>
      <c r="C84" s="81" t="s">
        <v>66</v>
      </c>
      <c r="D84" s="82"/>
      <c r="E84" s="95" t="s">
        <v>103</v>
      </c>
      <c r="F84" s="110"/>
      <c r="G84" s="110"/>
      <c r="H84" s="220" t="str">
        <f>IF(F84&gt;0,F84/_xch,IF(G84&gt;0,G84,"Enter unit cost in one of the YELLOW cells"))</f>
        <v>Enter unit cost in one of the YELLOW cells</v>
      </c>
    </row>
    <row r="85" spans="2:8" s="75" customFormat="1" ht="12.5" customHeight="1">
      <c r="B85" s="80" t="s">
        <v>117</v>
      </c>
      <c r="C85" s="81" t="s">
        <v>66</v>
      </c>
      <c r="D85" s="82"/>
      <c r="E85" s="95" t="s">
        <v>120</v>
      </c>
      <c r="F85" s="110"/>
      <c r="G85" s="110"/>
      <c r="H85" s="220" t="str">
        <f>IF(F85&gt;0,F85/_xch,IF(G85&gt;0,G85,"Enter unit cost in one of the YELLOW cells"))</f>
        <v>Enter unit cost in one of the YELLOW cells</v>
      </c>
    </row>
    <row r="86" spans="2:8" s="75" customFormat="1" ht="12.5" customHeight="1">
      <c r="B86" s="85"/>
      <c r="C86" s="83"/>
      <c r="D86" s="86"/>
      <c r="E86" s="83"/>
      <c r="F86" s="248"/>
      <c r="G86" s="248"/>
      <c r="H86" s="220"/>
    </row>
    <row r="87" spans="2:8" s="75" customFormat="1">
      <c r="B87" s="85"/>
      <c r="C87" s="83"/>
      <c r="D87" s="86"/>
      <c r="E87" s="83"/>
      <c r="F87" s="83"/>
      <c r="G87" s="83"/>
      <c r="H87" s="90"/>
    </row>
    <row r="88" spans="2:8" s="75" customFormat="1" ht="12.5" customHeight="1">
      <c r="B88" s="76" t="s">
        <v>85</v>
      </c>
      <c r="C88" s="76"/>
      <c r="D88" s="76"/>
      <c r="E88" s="76"/>
      <c r="F88" s="76"/>
      <c r="G88" s="76"/>
      <c r="H88" s="76"/>
    </row>
    <row r="89" spans="2:8" s="75" customFormat="1" ht="12.5" customHeight="1">
      <c r="B89" s="80" t="s">
        <v>311</v>
      </c>
      <c r="C89" s="81" t="s">
        <v>59</v>
      </c>
      <c r="D89" s="82"/>
      <c r="E89" s="95" t="s">
        <v>312</v>
      </c>
      <c r="F89" s="110"/>
      <c r="G89" s="110"/>
      <c r="H89" s="220" t="str">
        <f>IF(F89&gt;0,F89/_xch,IF(G89&gt;0,G89,"Enter unit cost in one of the YELLOW cells"))</f>
        <v>Enter unit cost in one of the YELLOW cells</v>
      </c>
    </row>
    <row r="90" spans="2:8" s="75" customFormat="1" ht="12.5" customHeight="1">
      <c r="B90" s="80" t="s">
        <v>313</v>
      </c>
      <c r="C90" s="81" t="s">
        <v>59</v>
      </c>
      <c r="D90" s="82"/>
      <c r="E90" s="95" t="s">
        <v>314</v>
      </c>
      <c r="F90" s="110"/>
      <c r="G90" s="110"/>
      <c r="H90" s="220" t="str">
        <f>IF(F90&gt;0,F90/_xch,IF(G90&gt;0,G90,"Enter unit cost in one of the YELLOW cells"))</f>
        <v>Enter unit cost in one of the YELLOW cells</v>
      </c>
    </row>
    <row r="91" spans="2:8" s="75" customFormat="1" ht="12.5" customHeight="1">
      <c r="B91" s="85"/>
      <c r="C91" s="83"/>
      <c r="D91" s="86"/>
      <c r="E91" s="83"/>
      <c r="F91" s="83"/>
      <c r="G91" s="83"/>
      <c r="H91" s="90"/>
    </row>
    <row r="92" spans="2:8" s="75" customFormat="1" ht="12.5" customHeight="1">
      <c r="B92" s="80" t="s">
        <v>311</v>
      </c>
      <c r="C92" s="81" t="s">
        <v>63</v>
      </c>
      <c r="D92" s="82"/>
      <c r="E92" s="95" t="s">
        <v>315</v>
      </c>
      <c r="F92" s="110"/>
      <c r="G92" s="110"/>
      <c r="H92" s="220" t="str">
        <f>IF(F92&gt;0,F92/_xch,IF(G92&gt;0,G92,"Enter unit cost in one of the YELLOW cells"))</f>
        <v>Enter unit cost in one of the YELLOW cells</v>
      </c>
    </row>
    <row r="93" spans="2:8" s="75" customFormat="1" ht="12.5" customHeight="1">
      <c r="B93" s="80" t="s">
        <v>306</v>
      </c>
      <c r="C93" s="81" t="s">
        <v>61</v>
      </c>
      <c r="D93" s="82"/>
      <c r="E93" s="95" t="s">
        <v>316</v>
      </c>
      <c r="F93" s="110"/>
      <c r="G93" s="110"/>
      <c r="H93" s="220" t="str">
        <f>IF(F93&gt;0,F93/_xch,IF(G93&gt;0,G93,"Enter unit cost in one of the YELLOW cells"))</f>
        <v>Enter unit cost in one of the YELLOW cells</v>
      </c>
    </row>
    <row r="94" spans="2:8" s="75" customFormat="1" ht="12.5" customHeight="1">
      <c r="B94" s="80" t="s">
        <v>115</v>
      </c>
      <c r="C94" s="81" t="s">
        <v>112</v>
      </c>
      <c r="D94" s="82"/>
      <c r="E94" s="95" t="s">
        <v>317</v>
      </c>
      <c r="F94" s="110"/>
      <c r="G94" s="110"/>
      <c r="H94" s="220" t="str">
        <f>IF(F94&gt;0,F94/_xch,IF(G94&gt;0,G94,"Enter unit cost in one of the YELLOW cells"))</f>
        <v>Enter unit cost in one of the YELLOW cells</v>
      </c>
    </row>
    <row r="95" spans="2:8" s="75" customFormat="1" ht="12.5" customHeight="1">
      <c r="B95" s="85"/>
      <c r="C95" s="83"/>
      <c r="D95" s="86"/>
      <c r="E95" s="83"/>
      <c r="F95" s="83"/>
      <c r="G95" s="83"/>
      <c r="H95" s="90"/>
    </row>
    <row r="96" spans="2:8" s="75" customFormat="1" ht="12.5" customHeight="1">
      <c r="B96" s="80" t="s">
        <v>62</v>
      </c>
      <c r="C96" s="81" t="s">
        <v>63</v>
      </c>
      <c r="D96" s="82"/>
      <c r="E96" s="95" t="s">
        <v>318</v>
      </c>
      <c r="F96" s="110"/>
      <c r="G96" s="110"/>
      <c r="H96" s="220" t="str">
        <f>IF(F96&gt;0,F96/_xch,IF(G96&gt;0,G96,"Enter unit cost in one of the YELLOW cells"))</f>
        <v>Enter unit cost in one of the YELLOW cells</v>
      </c>
    </row>
    <row r="97" spans="2:8" ht="14">
      <c r="B97" s="80" t="s">
        <v>122</v>
      </c>
      <c r="C97" s="81" t="s">
        <v>59</v>
      </c>
      <c r="D97" s="82"/>
      <c r="E97" s="95" t="s">
        <v>319</v>
      </c>
      <c r="F97" s="110"/>
      <c r="G97" s="110"/>
      <c r="H97" s="220" t="str">
        <f>IF(F97&gt;0,F97/_xch,IF(G97&gt;0,G97,"Enter unit cost in one of the YELLOW cells"))</f>
        <v>Enter unit cost in one of the YELLOW cells</v>
      </c>
    </row>
    <row r="98" spans="2:8" ht="14">
      <c r="B98" s="80" t="s">
        <v>65</v>
      </c>
      <c r="C98" s="81" t="s">
        <v>66</v>
      </c>
      <c r="D98" s="82"/>
      <c r="E98" s="95" t="s">
        <v>320</v>
      </c>
      <c r="F98" s="110"/>
      <c r="G98" s="110"/>
      <c r="H98" s="220" t="str">
        <f>IF(F98&gt;0,F98/_xch,IF(G98&gt;0,G98,"Enter unit cost in one of the YELLOW cells"))</f>
        <v>Enter unit cost in one of the YELLOW cells</v>
      </c>
    </row>
    <row r="99" spans="2:8" ht="14">
      <c r="B99" s="80" t="s">
        <v>117</v>
      </c>
      <c r="C99" s="81" t="s">
        <v>66</v>
      </c>
      <c r="D99" s="82"/>
      <c r="E99" s="95" t="s">
        <v>321</v>
      </c>
      <c r="F99" s="110"/>
      <c r="G99" s="110"/>
      <c r="H99" s="220" t="str">
        <f>IF(F99&gt;0,F99/_xch,IF(G99&gt;0,G99,"Enter unit cost in one of the YELLOW cells"))</f>
        <v>Enter unit cost in one of the YELLOW cells</v>
      </c>
    </row>
    <row r="100" spans="2:8" ht="14">
      <c r="B100" s="80" t="s">
        <v>64</v>
      </c>
      <c r="C100" s="81" t="s">
        <v>59</v>
      </c>
      <c r="D100" s="82"/>
      <c r="E100" s="95" t="s">
        <v>322</v>
      </c>
      <c r="F100" s="110"/>
      <c r="G100" s="110"/>
      <c r="H100" s="220" t="str">
        <f>IF(F100&gt;0,F100/_xch,IF(G100&gt;0,G100,"Enter unit cost in one of the YELLOW cells"))</f>
        <v>Enter unit cost in one of the YELLOW cells</v>
      </c>
    </row>
  </sheetData>
  <mergeCells count="1">
    <mergeCell ref="B5:H7"/>
  </mergeCells>
  <hyperlinks>
    <hyperlink ref="B14" location="'Unit costs'!B24:I32" display="Development of pediatric TB training materials" xr:uid="{00000000-0004-0000-0400-000000000000}"/>
    <hyperlink ref="B15" location="'Unit costs'!B34:I53" display="Site mentorship and supervision" xr:uid="{00000000-0004-0000-0400-000001000000}"/>
    <hyperlink ref="B16" location="'Unit costs'!B56:I71" display="Central training of trainers" xr:uid="{00000000-0004-0000-0400-000002000000}"/>
    <hyperlink ref="B17" location="'Unit costs'!B74:I85" display="Regional training of trainers" xr:uid="{00000000-0004-0000-0400-000003000000}"/>
    <hyperlink ref="B18" location="'Unit costs'!B88:I100" display="On-site training" xr:uid="{00000000-0004-0000-0400-000004000000}"/>
  </hyperlinks>
  <pageMargins left="0.7" right="0.7" top="0.75" bottom="0.75" header="0.3" footer="0.3"/>
  <pageSetup paperSize="9" orientation="portrait" r:id="rId1"/>
  <ignoredErrors>
    <ignoredError sqref="H5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499984740745262"/>
  </sheetPr>
  <dimension ref="A2:N61"/>
  <sheetViews>
    <sheetView showGridLines="0" workbookViewId="0">
      <pane ySplit="11" topLeftCell="A13" activePane="bottomLeft" state="frozen"/>
      <selection pane="bottomLeft" activeCell="A19" sqref="A19"/>
    </sheetView>
  </sheetViews>
  <sheetFormatPr baseColWidth="10" defaultColWidth="9.1640625" defaultRowHeight="16"/>
  <cols>
    <col min="1" max="1" width="43.5" style="24" bestFit="1" customWidth="1"/>
    <col min="2" max="2" width="81.83203125" style="24" bestFit="1" customWidth="1"/>
    <col min="3" max="3" width="9.1640625" style="24"/>
    <col min="4" max="4" width="13.6640625" style="24" bestFit="1" customWidth="1"/>
    <col min="5" max="5" width="11.33203125" style="24" bestFit="1" customWidth="1"/>
    <col min="6" max="6" width="9.1640625" style="24"/>
    <col min="7" max="7" width="18.1640625" style="24" bestFit="1" customWidth="1"/>
    <col min="8" max="16384" width="9.1640625" style="24"/>
  </cols>
  <sheetData>
    <row r="2" spans="1:13" s="148" customFormat="1">
      <c r="A2" s="147" t="s">
        <v>169</v>
      </c>
    </row>
    <row r="3" spans="1:13">
      <c r="A3" s="35" t="s">
        <v>333</v>
      </c>
    </row>
    <row r="4" spans="1:13">
      <c r="A4" s="35" t="s">
        <v>338</v>
      </c>
    </row>
    <row r="5" spans="1:13">
      <c r="A5" s="35" t="s">
        <v>334</v>
      </c>
    </row>
    <row r="6" spans="1:13" ht="15.75" customHeight="1">
      <c r="A6" s="35" t="s">
        <v>335</v>
      </c>
    </row>
    <row r="7" spans="1:13">
      <c r="A7" s="35" t="s">
        <v>336</v>
      </c>
    </row>
    <row r="8" spans="1:13">
      <c r="A8" s="35" t="s">
        <v>337</v>
      </c>
    </row>
    <row r="9" spans="1:13" ht="15.75" customHeight="1">
      <c r="A9" s="25"/>
    </row>
    <row r="10" spans="1:13">
      <c r="A10" s="25"/>
    </row>
    <row r="11" spans="1:13" s="27" customFormat="1">
      <c r="D11" s="36">
        <f>start_year</f>
        <v>2020</v>
      </c>
      <c r="E11" s="36">
        <f t="shared" ref="E11:M11" si="0">D11+1</f>
        <v>2021</v>
      </c>
      <c r="F11" s="36">
        <f t="shared" si="0"/>
        <v>2022</v>
      </c>
      <c r="G11" s="36">
        <f t="shared" si="0"/>
        <v>2023</v>
      </c>
      <c r="H11" s="36">
        <f t="shared" si="0"/>
        <v>2024</v>
      </c>
      <c r="I11" s="36">
        <f t="shared" si="0"/>
        <v>2025</v>
      </c>
      <c r="J11" s="36">
        <f t="shared" si="0"/>
        <v>2026</v>
      </c>
      <c r="K11" s="36">
        <f t="shared" si="0"/>
        <v>2027</v>
      </c>
      <c r="L11" s="36">
        <f t="shared" si="0"/>
        <v>2028</v>
      </c>
      <c r="M11" s="36">
        <f t="shared" si="0"/>
        <v>2029</v>
      </c>
    </row>
    <row r="12" spans="1:13">
      <c r="A12" s="25" t="s">
        <v>333</v>
      </c>
      <c r="D12" s="31"/>
    </row>
    <row r="13" spans="1:13">
      <c r="B13" s="25"/>
      <c r="D13" s="31"/>
    </row>
    <row r="14" spans="1:13">
      <c r="B14" s="29" t="s">
        <v>170</v>
      </c>
      <c r="D14" s="187">
        <f>IFERROR(hr_time_training_materials*consultant_fee_training_materials*nr_consultants,0)</f>
        <v>0</v>
      </c>
      <c r="E14" s="187">
        <f>IFERROR('4. Parameters'!D18*consultant_fee_training_materials*'4. Parameters'!D19,0)</f>
        <v>0</v>
      </c>
      <c r="F14" s="187">
        <f>IFERROR('4. Parameters'!E18*consultant_fee_training_materials*'4. Parameters'!E19,0)</f>
        <v>0</v>
      </c>
      <c r="G14" s="187">
        <f>IFERROR('4. Parameters'!F18*consultant_fee_training_materials*'4. Parameters'!F19,0)</f>
        <v>0</v>
      </c>
      <c r="H14" s="187">
        <f>IFERROR('4. Parameters'!G18*consultant_fee_training_materials*'4. Parameters'!G19,0)</f>
        <v>0</v>
      </c>
      <c r="I14" s="187">
        <f>IFERROR('4. Parameters'!H18*consultant_fee_training_materials*'4. Parameters'!H19,0)</f>
        <v>0</v>
      </c>
      <c r="J14" s="187">
        <f>IFERROR('4. Parameters'!I18*consultant_fee_training_materials*'4. Parameters'!I19,0)</f>
        <v>0</v>
      </c>
      <c r="K14" s="187">
        <f>IFERROR('4. Parameters'!J18*consultant_fee_training_materials*'4. Parameters'!J19,0)</f>
        <v>0</v>
      </c>
      <c r="L14" s="187">
        <f>IFERROR('4. Parameters'!K18*consultant_fee_training_materials*'4. Parameters'!K19,0)</f>
        <v>0</v>
      </c>
      <c r="M14" s="187">
        <f>IFERROR('4. Parameters'!L18*consultant_fee_training_materials*'4. Parameters'!L19,0)</f>
        <v>0</v>
      </c>
    </row>
    <row r="15" spans="1:13">
      <c r="B15" s="29" t="s">
        <v>203</v>
      </c>
      <c r="D15" s="188">
        <f t="shared" ref="D15:M15" si="1">SUM(D14:D14)</f>
        <v>0</v>
      </c>
      <c r="E15" s="188">
        <f t="shared" si="1"/>
        <v>0</v>
      </c>
      <c r="F15" s="188">
        <f t="shared" si="1"/>
        <v>0</v>
      </c>
      <c r="G15" s="188">
        <f t="shared" si="1"/>
        <v>0</v>
      </c>
      <c r="H15" s="188">
        <f t="shared" si="1"/>
        <v>0</v>
      </c>
      <c r="I15" s="188">
        <f t="shared" si="1"/>
        <v>0</v>
      </c>
      <c r="J15" s="188">
        <f t="shared" si="1"/>
        <v>0</v>
      </c>
      <c r="K15" s="188">
        <f t="shared" si="1"/>
        <v>0</v>
      </c>
      <c r="L15" s="188">
        <f t="shared" si="1"/>
        <v>0</v>
      </c>
      <c r="M15" s="188">
        <f t="shared" si="1"/>
        <v>0</v>
      </c>
    </row>
    <row r="16" spans="1:13">
      <c r="B16" s="27"/>
      <c r="D16" s="106"/>
      <c r="E16" s="106"/>
      <c r="F16" s="106"/>
      <c r="G16" s="106"/>
      <c r="H16" s="106"/>
      <c r="I16" s="106"/>
      <c r="J16" s="106"/>
      <c r="K16" s="106"/>
      <c r="L16" s="106"/>
      <c r="M16" s="106"/>
    </row>
    <row r="17" spans="1:13">
      <c r="B17" s="27"/>
      <c r="D17" s="106"/>
      <c r="E17" s="106"/>
      <c r="F17" s="106"/>
      <c r="G17" s="106"/>
      <c r="H17" s="106"/>
      <c r="I17" s="106"/>
      <c r="J17" s="106"/>
      <c r="K17" s="106"/>
      <c r="L17" s="106"/>
      <c r="M17" s="106"/>
    </row>
    <row r="18" spans="1:13">
      <c r="A18" s="25" t="s">
        <v>338</v>
      </c>
      <c r="D18" s="107"/>
      <c r="E18" s="107"/>
      <c r="F18" s="107"/>
      <c r="G18" s="107"/>
      <c r="H18" s="107"/>
      <c r="I18" s="107"/>
      <c r="J18" s="107"/>
      <c r="K18" s="107"/>
      <c r="L18" s="107"/>
      <c r="M18" s="107"/>
    </row>
    <row r="19" spans="1:13">
      <c r="A19" s="25"/>
      <c r="D19" s="107"/>
      <c r="E19" s="107"/>
      <c r="F19" s="107"/>
      <c r="G19" s="107"/>
      <c r="H19" s="107"/>
      <c r="I19" s="107"/>
      <c r="J19" s="107"/>
      <c r="K19" s="107"/>
      <c r="L19" s="107"/>
      <c r="M19" s="107"/>
    </row>
    <row r="20" spans="1:13">
      <c r="B20" s="29" t="s">
        <v>204</v>
      </c>
      <c r="D20" s="188">
        <f>IFERROR(nr_in_brief_meetings*nr_participants_per_in_brief_meeting*per_diem_pediatric_TB_committee,0)</f>
        <v>0</v>
      </c>
      <c r="E20" s="188">
        <f>IFERROR('4. Parameters'!D20*'4. Parameters'!D21*per_diem_pediatric_TB_committee,0)</f>
        <v>0</v>
      </c>
      <c r="F20" s="188">
        <f>IFERROR('4. Parameters'!E20*'4. Parameters'!E21*per_diem_pediatric_TB_committee,0)</f>
        <v>0</v>
      </c>
      <c r="G20" s="188">
        <f>IFERROR('4. Parameters'!F20*'4. Parameters'!F21*per_diem_pediatric_TB_committee,0)</f>
        <v>0</v>
      </c>
      <c r="H20" s="188">
        <f>IFERROR('4. Parameters'!G20*'4. Parameters'!G21*per_diem_pediatric_TB_committee,0)</f>
        <v>0</v>
      </c>
      <c r="I20" s="188">
        <f>IFERROR('4. Parameters'!H20*'4. Parameters'!H21*per_diem_pediatric_TB_committee,0)</f>
        <v>0</v>
      </c>
      <c r="J20" s="188">
        <f>IFERROR('4. Parameters'!I20*'4. Parameters'!I21*per_diem_pediatric_TB_committee,0)</f>
        <v>0</v>
      </c>
      <c r="K20" s="188">
        <f>IFERROR('4. Parameters'!J20*'4. Parameters'!J21*per_diem_pediatric_TB_committee,0)</f>
        <v>0</v>
      </c>
      <c r="L20" s="188">
        <f>IFERROR('4. Parameters'!K20*'4. Parameters'!K21*per_diem_pediatric_TB_committee,0)</f>
        <v>0</v>
      </c>
      <c r="M20" s="188">
        <f>IFERROR('4. Parameters'!L20*'4. Parameters'!L21*per_diem_pediatric_TB_committee,0)</f>
        <v>0</v>
      </c>
    </row>
    <row r="21" spans="1:13">
      <c r="B21" s="24" t="s">
        <v>90</v>
      </c>
      <c r="D21" s="189">
        <f>IFERROR(nr_in_brief_meetings*nr_participants_per_in_brief_meeting*per_diem_pediatric_TB_committee,0)</f>
        <v>0</v>
      </c>
      <c r="E21" s="189">
        <f>IFERROR('4. Parameters'!D21*'4. Parameters'!D22*per_diem_pediatric_TB_committee,0)</f>
        <v>0</v>
      </c>
      <c r="F21" s="189">
        <f>IFERROR('4. Parameters'!E21*'4. Parameters'!E22*per_diem_pediatric_TB_committee,0)</f>
        <v>0</v>
      </c>
      <c r="G21" s="189">
        <f>IFERROR('4. Parameters'!F21*'4. Parameters'!F22*per_diem_pediatric_TB_committee,0)</f>
        <v>0</v>
      </c>
      <c r="H21" s="189">
        <f>IFERROR('4. Parameters'!G21*'4. Parameters'!G22*per_diem_pediatric_TB_committee,0)</f>
        <v>0</v>
      </c>
      <c r="I21" s="189">
        <f>IFERROR('4. Parameters'!H21*'4. Parameters'!H22*per_diem_pediatric_TB_committee,0)</f>
        <v>0</v>
      </c>
      <c r="J21" s="189">
        <f>IFERROR('4. Parameters'!I21*'4. Parameters'!I22*per_diem_pediatric_TB_committee,0)</f>
        <v>0</v>
      </c>
      <c r="K21" s="189">
        <f>IFERROR('4. Parameters'!J21*'4. Parameters'!J22*per_diem_pediatric_TB_committee,0)</f>
        <v>0</v>
      </c>
      <c r="L21" s="189">
        <f>IFERROR('4. Parameters'!K21*'4. Parameters'!K22*per_diem_pediatric_TB_committee,0)</f>
        <v>0</v>
      </c>
      <c r="M21" s="189">
        <f>IFERROR('4. Parameters'!L21*'4. Parameters'!L22*per_diem_pediatric_TB_committee,0)</f>
        <v>0</v>
      </c>
    </row>
    <row r="22" spans="1:13">
      <c r="B22" s="24" t="s">
        <v>91</v>
      </c>
      <c r="D22" s="189">
        <v>0</v>
      </c>
      <c r="E22" s="189">
        <v>0</v>
      </c>
      <c r="F22" s="189">
        <v>0</v>
      </c>
      <c r="G22" s="189">
        <v>0</v>
      </c>
      <c r="H22" s="189">
        <v>0</v>
      </c>
      <c r="I22" s="189">
        <v>0</v>
      </c>
      <c r="J22" s="189">
        <v>0</v>
      </c>
      <c r="K22" s="189">
        <v>0</v>
      </c>
      <c r="L22" s="189">
        <v>0</v>
      </c>
      <c r="M22" s="189">
        <v>0</v>
      </c>
    </row>
    <row r="23" spans="1:13">
      <c r="B23" s="29" t="s">
        <v>339</v>
      </c>
      <c r="D23" s="190">
        <f t="shared" ref="D23:M23" si="2">SUM(D20:D22)</f>
        <v>0</v>
      </c>
      <c r="E23" s="191">
        <f t="shared" si="2"/>
        <v>0</v>
      </c>
      <c r="F23" s="191">
        <f t="shared" si="2"/>
        <v>0</v>
      </c>
      <c r="G23" s="191">
        <f t="shared" si="2"/>
        <v>0</v>
      </c>
      <c r="H23" s="191">
        <f t="shared" si="2"/>
        <v>0</v>
      </c>
      <c r="I23" s="191">
        <f t="shared" si="2"/>
        <v>0</v>
      </c>
      <c r="J23" s="191">
        <f t="shared" si="2"/>
        <v>0</v>
      </c>
      <c r="K23" s="191">
        <f t="shared" si="2"/>
        <v>0</v>
      </c>
      <c r="L23" s="191">
        <f t="shared" si="2"/>
        <v>0</v>
      </c>
      <c r="M23" s="191">
        <f t="shared" si="2"/>
        <v>0</v>
      </c>
    </row>
    <row r="24" spans="1:13">
      <c r="D24" s="217"/>
      <c r="E24" s="217"/>
      <c r="F24" s="217"/>
      <c r="G24" s="217"/>
      <c r="H24" s="217"/>
      <c r="I24" s="217"/>
      <c r="J24" s="217"/>
      <c r="K24" s="217"/>
      <c r="L24" s="217"/>
      <c r="M24" s="217"/>
    </row>
    <row r="25" spans="1:13">
      <c r="D25" s="108"/>
      <c r="E25" s="108"/>
      <c r="F25" s="108"/>
      <c r="G25" s="108"/>
      <c r="H25" s="108"/>
      <c r="I25" s="108"/>
      <c r="J25" s="108"/>
      <c r="K25" s="108"/>
      <c r="L25" s="108"/>
      <c r="M25" s="108"/>
    </row>
    <row r="26" spans="1:13">
      <c r="A26" s="25" t="s">
        <v>334</v>
      </c>
      <c r="D26" s="107"/>
      <c r="E26" s="107"/>
      <c r="F26" s="107"/>
      <c r="G26" s="107"/>
      <c r="H26" s="107"/>
      <c r="I26" s="107"/>
      <c r="J26" s="107"/>
      <c r="K26" s="107"/>
      <c r="L26" s="107"/>
      <c r="M26" s="107"/>
    </row>
    <row r="27" spans="1:13">
      <c r="A27" s="25"/>
      <c r="D27" s="107"/>
      <c r="E27" s="107"/>
      <c r="F27" s="107"/>
      <c r="G27" s="107"/>
      <c r="H27" s="107"/>
      <c r="I27" s="107"/>
      <c r="J27" s="107"/>
      <c r="K27" s="107"/>
      <c r="L27" s="107"/>
      <c r="M27" s="107"/>
    </row>
    <row r="28" spans="1:13">
      <c r="B28" s="29" t="s">
        <v>204</v>
      </c>
      <c r="D28" s="188">
        <f>IFERROR(nr_inception_meetings*nr_participants_inception_meeting*transport_training_materials,0)</f>
        <v>0</v>
      </c>
      <c r="E28" s="188">
        <f>IFERROR('4. Parameters'!D22*'4. Parameters'!D23*transport_training_materials,0)</f>
        <v>0</v>
      </c>
      <c r="F28" s="188">
        <f>IFERROR('4. Parameters'!E22*'4. Parameters'!E23*transport_training_materials,0)</f>
        <v>0</v>
      </c>
      <c r="G28" s="188">
        <f>IFERROR('4. Parameters'!F22*'4. Parameters'!F23*transport_training_materials,0)</f>
        <v>0</v>
      </c>
      <c r="H28" s="188">
        <f>IFERROR('4. Parameters'!G22*'4. Parameters'!G23*transport_training_materials,0)</f>
        <v>0</v>
      </c>
      <c r="I28" s="188">
        <f>IFERROR('4. Parameters'!H22*'4. Parameters'!H23*transport_training_materials,0)</f>
        <v>0</v>
      </c>
      <c r="J28" s="188">
        <f>IFERROR('4. Parameters'!I22*'4. Parameters'!I23*transport_training_materials,0)</f>
        <v>0</v>
      </c>
      <c r="K28" s="188">
        <f>IFERROR('4. Parameters'!J22*'4. Parameters'!J23*transport_training_materials,0)</f>
        <v>0</v>
      </c>
      <c r="L28" s="188">
        <f>IFERROR('4. Parameters'!K22*'4. Parameters'!K23*transport_training_materials,0)</f>
        <v>0</v>
      </c>
      <c r="M28" s="188">
        <f>IFERROR('4. Parameters'!L22*'4. Parameters'!L23*transport_training_materials,0)</f>
        <v>0</v>
      </c>
    </row>
    <row r="29" spans="1:13">
      <c r="B29" s="24" t="s">
        <v>90</v>
      </c>
      <c r="D29" s="189">
        <f>IFERROR(nr_inception_meetings*nr_participants_inception_meeting*refreshments_training_materials,0)</f>
        <v>0</v>
      </c>
      <c r="E29" s="189">
        <f>IFERROR('4. Parameters'!D22*'4. Parameters'!D23*refreshments_training_materials,0)</f>
        <v>0</v>
      </c>
      <c r="F29" s="189">
        <f>IFERROR('4. Parameters'!E22*'4. Parameters'!E23*refreshments_training_materials,0)</f>
        <v>0</v>
      </c>
      <c r="G29" s="189">
        <f>IFERROR('4. Parameters'!F22*'4. Parameters'!F23*refreshments_training_materials,0)</f>
        <v>0</v>
      </c>
      <c r="H29" s="189">
        <f>IFERROR('4. Parameters'!G22*'4. Parameters'!G23*refreshments_training_materials,0)</f>
        <v>0</v>
      </c>
      <c r="I29" s="189">
        <f>IFERROR('4. Parameters'!H22*'4. Parameters'!H23*refreshments_training_materials,0)</f>
        <v>0</v>
      </c>
      <c r="J29" s="189">
        <f>IFERROR('4. Parameters'!I22*'4. Parameters'!I23*refreshments_training_materials,0)</f>
        <v>0</v>
      </c>
      <c r="K29" s="189">
        <f>IFERROR('4. Parameters'!J22*'4. Parameters'!J23*refreshments_training_materials,0)</f>
        <v>0</v>
      </c>
      <c r="L29" s="189">
        <f>IFERROR('4. Parameters'!K22*'4. Parameters'!K23*refreshments_training_materials,0)</f>
        <v>0</v>
      </c>
      <c r="M29" s="189">
        <f>IFERROR('4. Parameters'!L22*'4. Parameters'!L23*refreshments_training_materials,0)</f>
        <v>0</v>
      </c>
    </row>
    <row r="30" spans="1:13">
      <c r="B30" s="24" t="s">
        <v>91</v>
      </c>
      <c r="D30" s="189">
        <f>IFERROR(nr_inception_meetings*room_rental_training_materials,0)</f>
        <v>0</v>
      </c>
      <c r="E30" s="189">
        <f>IFERROR('4. Parameters'!D22*room_rental_training_materials,0)</f>
        <v>0</v>
      </c>
      <c r="F30" s="189">
        <f>IFERROR('4. Parameters'!E22*room_rental_training_materials,0)</f>
        <v>0</v>
      </c>
      <c r="G30" s="189">
        <f>IFERROR('4. Parameters'!F22*room_rental_training_materials,0)</f>
        <v>0</v>
      </c>
      <c r="H30" s="189">
        <f>IFERROR('4. Parameters'!G22*room_rental_training_materials,0)</f>
        <v>0</v>
      </c>
      <c r="I30" s="189">
        <f>IFERROR('4. Parameters'!H22*room_rental_training_materials,0)</f>
        <v>0</v>
      </c>
      <c r="J30" s="189">
        <f>IFERROR('4. Parameters'!I22*room_rental_training_materials,0)</f>
        <v>0</v>
      </c>
      <c r="K30" s="189">
        <f>IFERROR('4. Parameters'!J22*room_rental_training_materials,0)</f>
        <v>0</v>
      </c>
      <c r="L30" s="189">
        <f>IFERROR('4. Parameters'!K22*room_rental_training_materials,0)</f>
        <v>0</v>
      </c>
      <c r="M30" s="189">
        <f>IFERROR('4. Parameters'!L22*room_rental_training_materials,0)</f>
        <v>0</v>
      </c>
    </row>
    <row r="31" spans="1:13">
      <c r="B31" s="29" t="s">
        <v>172</v>
      </c>
      <c r="D31" s="191">
        <f t="shared" ref="D31:M31" si="3">SUM(D28:D30)</f>
        <v>0</v>
      </c>
      <c r="E31" s="191">
        <f t="shared" si="3"/>
        <v>0</v>
      </c>
      <c r="F31" s="191">
        <f t="shared" si="3"/>
        <v>0</v>
      </c>
      <c r="G31" s="191">
        <f t="shared" si="3"/>
        <v>0</v>
      </c>
      <c r="H31" s="191">
        <f t="shared" si="3"/>
        <v>0</v>
      </c>
      <c r="I31" s="191">
        <f t="shared" si="3"/>
        <v>0</v>
      </c>
      <c r="J31" s="191">
        <f t="shared" si="3"/>
        <v>0</v>
      </c>
      <c r="K31" s="191">
        <f t="shared" si="3"/>
        <v>0</v>
      </c>
      <c r="L31" s="191">
        <f t="shared" si="3"/>
        <v>0</v>
      </c>
      <c r="M31" s="191">
        <f t="shared" si="3"/>
        <v>0</v>
      </c>
    </row>
    <row r="32" spans="1:13">
      <c r="D32" s="107"/>
      <c r="E32" s="107"/>
      <c r="F32" s="107"/>
      <c r="G32" s="107"/>
      <c r="H32" s="107"/>
      <c r="I32" s="107"/>
      <c r="J32" s="107"/>
      <c r="K32" s="107"/>
      <c r="L32" s="107"/>
      <c r="M32" s="107"/>
    </row>
    <row r="33" spans="1:14">
      <c r="D33" s="107"/>
      <c r="E33" s="107"/>
      <c r="F33" s="107"/>
      <c r="G33" s="107"/>
      <c r="H33" s="107"/>
      <c r="I33" s="107"/>
      <c r="J33" s="107"/>
      <c r="K33" s="107"/>
      <c r="L33" s="107"/>
      <c r="M33" s="107"/>
    </row>
    <row r="34" spans="1:14">
      <c r="A34" s="25" t="s">
        <v>335</v>
      </c>
      <c r="D34" s="107"/>
      <c r="E34" s="107"/>
      <c r="F34" s="107"/>
      <c r="G34" s="107"/>
      <c r="H34" s="107"/>
      <c r="I34" s="107"/>
      <c r="J34" s="107"/>
      <c r="K34" s="107"/>
      <c r="L34" s="107"/>
      <c r="M34" s="107"/>
    </row>
    <row r="35" spans="1:14">
      <c r="A35" s="25"/>
      <c r="D35" s="192"/>
      <c r="E35" s="192"/>
      <c r="F35" s="192"/>
      <c r="G35" s="192"/>
      <c r="H35" s="192"/>
      <c r="I35" s="192"/>
      <c r="J35" s="192"/>
      <c r="K35" s="192"/>
      <c r="L35" s="192"/>
      <c r="M35" s="192"/>
    </row>
    <row r="36" spans="1:14">
      <c r="B36" s="29" t="s">
        <v>93</v>
      </c>
      <c r="D36" s="188">
        <f>IFERROR(nr_participants_workshop_draft*per_diem_pediatric_TB_committee,0)</f>
        <v>0</v>
      </c>
      <c r="E36" s="188">
        <f>IFERROR('4. Parameters'!D25*per_diem_pediatric_TB_committee,0)</f>
        <v>0</v>
      </c>
      <c r="F36" s="188">
        <f>IFERROR('4. Parameters'!E25*per_diem_pediatric_TB_committee,0)</f>
        <v>0</v>
      </c>
      <c r="G36" s="188">
        <f>IFERROR('4. Parameters'!F25*per_diem_pediatric_TB_committee,0)</f>
        <v>0</v>
      </c>
      <c r="H36" s="188">
        <f>IFERROR('4. Parameters'!G25*per_diem_pediatric_TB_committee,0)</f>
        <v>0</v>
      </c>
      <c r="I36" s="188">
        <f>IFERROR('4. Parameters'!H25*per_diem_pediatric_TB_committee,0)</f>
        <v>0</v>
      </c>
      <c r="J36" s="188">
        <f>IFERROR('4. Parameters'!I25*per_diem_pediatric_TB_committee,0)</f>
        <v>0</v>
      </c>
      <c r="K36" s="188">
        <f>IFERROR('4. Parameters'!J25*per_diem_pediatric_TB_committee,0)</f>
        <v>0</v>
      </c>
      <c r="L36" s="188">
        <f>IFERROR('4. Parameters'!K25*per_diem_pediatric_TB_committee,0)</f>
        <v>0</v>
      </c>
      <c r="M36" s="188">
        <f>IFERROR('4. Parameters'!L25*per_diem_pediatric_TB_committee,0)</f>
        <v>0</v>
      </c>
    </row>
    <row r="37" spans="1:14">
      <c r="B37" s="98" t="s">
        <v>204</v>
      </c>
      <c r="D37" s="189">
        <f>IFERROR(nr_participants_workshop_draft*nr_days_workshop_draft*transport_training_materials,0)</f>
        <v>0</v>
      </c>
      <c r="E37" s="189">
        <f>IFERROR('4. Parameters'!D25*'4. Parameters'!D24*transport_training_materials,0)</f>
        <v>0</v>
      </c>
      <c r="F37" s="189">
        <f>IFERROR('4. Parameters'!E25*'4. Parameters'!E24*transport_training_materials,0)</f>
        <v>0</v>
      </c>
      <c r="G37" s="189">
        <f>IFERROR('4. Parameters'!F25*'4. Parameters'!F24*transport_training_materials,0)</f>
        <v>0</v>
      </c>
      <c r="H37" s="189">
        <f>IFERROR('4. Parameters'!G25*'4. Parameters'!G24*transport_training_materials,0)</f>
        <v>0</v>
      </c>
      <c r="I37" s="189">
        <f>IFERROR('4. Parameters'!H25*'4. Parameters'!H24*transport_training_materials,0)</f>
        <v>0</v>
      </c>
      <c r="J37" s="189">
        <f>IFERROR('4. Parameters'!I25*'4. Parameters'!I24*transport_training_materials,0)</f>
        <v>0</v>
      </c>
      <c r="K37" s="189">
        <f>IFERROR('4. Parameters'!J25*'4. Parameters'!J24*transport_training_materials,0)</f>
        <v>0</v>
      </c>
      <c r="L37" s="189">
        <f>IFERROR('4. Parameters'!K25*'4. Parameters'!K24*transport_training_materials,0)</f>
        <v>0</v>
      </c>
      <c r="M37" s="189">
        <f>IFERROR('4. Parameters'!L25*'4. Parameters'!L24*transport_training_materials,0)</f>
        <v>0</v>
      </c>
    </row>
    <row r="38" spans="1:14">
      <c r="B38" s="24" t="s">
        <v>90</v>
      </c>
      <c r="D38" s="189">
        <f>IFERROR(nr_participants_workshop_draft*nr_days_workshop_draft*refreshments_training_materials,0)</f>
        <v>0</v>
      </c>
      <c r="E38" s="189">
        <f>IFERROR('4. Parameters'!D25*'4. Parameters'!D24*refreshments_training_materials,0)</f>
        <v>0</v>
      </c>
      <c r="F38" s="189">
        <f>IFERROR('4. Parameters'!E25*'4. Parameters'!E24*refreshments_training_materials,0)</f>
        <v>0</v>
      </c>
      <c r="G38" s="189">
        <f>IFERROR('4. Parameters'!F25*'4. Parameters'!F24*refreshments_training_materials,0)</f>
        <v>0</v>
      </c>
      <c r="H38" s="189">
        <f>IFERROR('4. Parameters'!G25*'4. Parameters'!G24*refreshments_training_materials,0)</f>
        <v>0</v>
      </c>
      <c r="I38" s="189">
        <f>IFERROR('4. Parameters'!H25*'4. Parameters'!H24*refreshments_training_materials,0)</f>
        <v>0</v>
      </c>
      <c r="J38" s="189">
        <f>IFERROR('4. Parameters'!I25*'4. Parameters'!I24*refreshments_training_materials,0)</f>
        <v>0</v>
      </c>
      <c r="K38" s="189">
        <f>IFERROR('4. Parameters'!J25*'4. Parameters'!J24*refreshments_training_materials,0)</f>
        <v>0</v>
      </c>
      <c r="L38" s="189">
        <f>IFERROR('4. Parameters'!K25*'4. Parameters'!K24*refreshments_training_materials,0)</f>
        <v>0</v>
      </c>
      <c r="M38" s="189">
        <f>IFERROR('4. Parameters'!L25*'4. Parameters'!L24*refreshments_training_materials,0)</f>
        <v>0</v>
      </c>
    </row>
    <row r="39" spans="1:14">
      <c r="B39" s="24" t="s">
        <v>91</v>
      </c>
      <c r="D39" s="189">
        <f>IFERROR(fnr_days_workshop_draft*room_rental_training_materials,0)</f>
        <v>0</v>
      </c>
      <c r="E39" s="189">
        <f>IFERROR('4. Parameters'!D24*room_rental_training_materials,0)</f>
        <v>0</v>
      </c>
      <c r="F39" s="189">
        <f>IFERROR('4. Parameters'!E24*room_rental_training_materials,0)</f>
        <v>0</v>
      </c>
      <c r="G39" s="189">
        <f>IFERROR('4. Parameters'!F24*room_rental_training_materials,0)</f>
        <v>0</v>
      </c>
      <c r="H39" s="189">
        <f>IFERROR('4. Parameters'!G24*room_rental_training_materials,0)</f>
        <v>0</v>
      </c>
      <c r="I39" s="189">
        <f>IFERROR('4. Parameters'!H24*room_rental_training_materials,0)</f>
        <v>0</v>
      </c>
      <c r="J39" s="189">
        <f>IFERROR('4. Parameters'!I24*room_rental_training_materials,0)</f>
        <v>0</v>
      </c>
      <c r="K39" s="189">
        <f>IFERROR('4. Parameters'!J24*room_rental_training_materials,0)</f>
        <v>0</v>
      </c>
      <c r="L39" s="189">
        <f>IFERROR('4. Parameters'!K24*room_rental_training_materials,0)</f>
        <v>0</v>
      </c>
      <c r="M39" s="189">
        <f>IFERROR('4. Parameters'!L24*room_rental_training_materials,0)</f>
        <v>0</v>
      </c>
    </row>
    <row r="40" spans="1:14">
      <c r="B40" s="24" t="s">
        <v>68</v>
      </c>
      <c r="D40" s="189">
        <f>IFERROR(nr_days_workshop_draft*workshop_package_materials,0)</f>
        <v>0</v>
      </c>
      <c r="E40" s="189">
        <f>IFERROR('4. Parameters'!D25*workshop_package_materials,0)</f>
        <v>0</v>
      </c>
      <c r="F40" s="189">
        <f>IFERROR('4. Parameters'!E25*workshop_package_materials,0)</f>
        <v>0</v>
      </c>
      <c r="G40" s="189">
        <f>IFERROR('4. Parameters'!F25*workshop_package_materials,0)</f>
        <v>0</v>
      </c>
      <c r="H40" s="189">
        <f>IFERROR('4. Parameters'!G25*workshop_package_materials,0)</f>
        <v>0</v>
      </c>
      <c r="I40" s="189">
        <f>IFERROR('4. Parameters'!H25*workshop_package_materials,0)</f>
        <v>0</v>
      </c>
      <c r="J40" s="189">
        <f>IFERROR('4. Parameters'!I25*workshop_package_materials,0)</f>
        <v>0</v>
      </c>
      <c r="K40" s="189">
        <f>IFERROR('4. Parameters'!J25*workshop_package_materials,0)</f>
        <v>0</v>
      </c>
      <c r="L40" s="189">
        <f>IFERROR('4. Parameters'!K25*workshop_package_materials,0)</f>
        <v>0</v>
      </c>
      <c r="M40" s="189">
        <f>IFERROR('4. Parameters'!L25*workshop_package_materials,0)</f>
        <v>0</v>
      </c>
      <c r="N40" s="27"/>
    </row>
    <row r="41" spans="1:14">
      <c r="B41" s="29" t="s">
        <v>174</v>
      </c>
      <c r="D41" s="191">
        <f t="shared" ref="D41:M41" si="4">SUM(D36:D40)</f>
        <v>0</v>
      </c>
      <c r="E41" s="191">
        <f t="shared" si="4"/>
        <v>0</v>
      </c>
      <c r="F41" s="191">
        <f t="shared" si="4"/>
        <v>0</v>
      </c>
      <c r="G41" s="191">
        <f t="shared" si="4"/>
        <v>0</v>
      </c>
      <c r="H41" s="191">
        <f t="shared" si="4"/>
        <v>0</v>
      </c>
      <c r="I41" s="191">
        <f t="shared" si="4"/>
        <v>0</v>
      </c>
      <c r="J41" s="191">
        <f t="shared" si="4"/>
        <v>0</v>
      </c>
      <c r="K41" s="191">
        <f t="shared" si="4"/>
        <v>0</v>
      </c>
      <c r="L41" s="191">
        <f t="shared" si="4"/>
        <v>0</v>
      </c>
      <c r="M41" s="191">
        <f t="shared" si="4"/>
        <v>0</v>
      </c>
      <c r="N41" s="99"/>
    </row>
    <row r="42" spans="1:14">
      <c r="D42" s="107"/>
      <c r="E42" s="107"/>
      <c r="F42" s="107"/>
      <c r="G42" s="107"/>
      <c r="H42" s="107"/>
      <c r="I42" s="107"/>
      <c r="J42" s="107"/>
      <c r="K42" s="107"/>
      <c r="L42" s="107"/>
      <c r="M42" s="107"/>
    </row>
    <row r="43" spans="1:14">
      <c r="D43" s="107"/>
      <c r="E43" s="107"/>
      <c r="F43" s="107"/>
      <c r="G43" s="107"/>
      <c r="H43" s="107"/>
      <c r="I43" s="107"/>
      <c r="J43" s="107"/>
      <c r="K43" s="107"/>
      <c r="L43" s="107"/>
      <c r="M43" s="107"/>
    </row>
    <row r="44" spans="1:14">
      <c r="A44" s="25" t="s">
        <v>336</v>
      </c>
      <c r="D44" s="107"/>
      <c r="E44" s="107"/>
      <c r="F44" s="107"/>
      <c r="G44" s="107"/>
      <c r="H44" s="107"/>
      <c r="I44" s="107"/>
      <c r="J44" s="107"/>
      <c r="K44" s="107"/>
      <c r="L44" s="107"/>
      <c r="M44" s="107"/>
    </row>
    <row r="45" spans="1:14">
      <c r="A45" s="25"/>
      <c r="D45" s="107"/>
      <c r="E45" s="107"/>
      <c r="F45" s="107"/>
      <c r="G45" s="107"/>
      <c r="H45" s="107"/>
      <c r="I45" s="107"/>
      <c r="J45" s="107"/>
      <c r="K45" s="107"/>
      <c r="L45" s="107"/>
      <c r="M45" s="107"/>
    </row>
    <row r="46" spans="1:14">
      <c r="B46" s="29" t="s">
        <v>93</v>
      </c>
      <c r="D46" s="188">
        <f>IFERROR(nr_participants_workshop_finalize*per_diem_pediatric_TB_committee,0)</f>
        <v>0</v>
      </c>
      <c r="E46" s="188">
        <f>IFERROR('4. Parameters'!D27*per_diem_pediatric_TB_committee,0)</f>
        <v>0</v>
      </c>
      <c r="F46" s="188">
        <f>IFERROR('4. Parameters'!E27*per_diem_pediatric_TB_committee,0)</f>
        <v>0</v>
      </c>
      <c r="G46" s="188">
        <f>IFERROR('4. Parameters'!F27*per_diem_pediatric_TB_committee,0)</f>
        <v>0</v>
      </c>
      <c r="H46" s="188">
        <f>IFERROR('4. Parameters'!G27*per_diem_pediatric_TB_committee,0)</f>
        <v>0</v>
      </c>
      <c r="I46" s="188">
        <f>IFERROR('4. Parameters'!H27*per_diem_pediatric_TB_committee,0)</f>
        <v>0</v>
      </c>
      <c r="J46" s="188">
        <f>IFERROR('4. Parameters'!I27*per_diem_pediatric_TB_committee,0)</f>
        <v>0</v>
      </c>
      <c r="K46" s="188">
        <f>IFERROR('4. Parameters'!J27*per_diem_pediatric_TB_committee,0)</f>
        <v>0</v>
      </c>
      <c r="L46" s="188">
        <f>IFERROR('4. Parameters'!K27*per_diem_pediatric_TB_committee,0)</f>
        <v>0</v>
      </c>
      <c r="M46" s="188">
        <f>IFERROR('4. Parameters'!L27*per_diem_pediatric_TB_committee,0)</f>
        <v>0</v>
      </c>
    </row>
    <row r="47" spans="1:14">
      <c r="B47" s="24" t="s">
        <v>94</v>
      </c>
      <c r="D47" s="189">
        <f>IFERROR(nr_participants_workshop_finalize*nr_days_workshop_finalize*transport_training_materials,0)</f>
        <v>0</v>
      </c>
      <c r="E47" s="189">
        <f>IFERROR('4. Parameters'!D27*'4. Parameters'!D26*transport_training_materials,0)</f>
        <v>0</v>
      </c>
      <c r="F47" s="189">
        <f>IFERROR('4. Parameters'!E27*'4. Parameters'!E26*transport_training_materials,0)</f>
        <v>0</v>
      </c>
      <c r="G47" s="189">
        <f>IFERROR('4. Parameters'!F27*'4. Parameters'!F26*transport_training_materials,0)</f>
        <v>0</v>
      </c>
      <c r="H47" s="189">
        <f>IFERROR('4. Parameters'!G27*'4. Parameters'!G26*transport_training_materials,0)</f>
        <v>0</v>
      </c>
      <c r="I47" s="189">
        <f>IFERROR('4. Parameters'!H27*'4. Parameters'!H26*transport_training_materials,0)</f>
        <v>0</v>
      </c>
      <c r="J47" s="189">
        <f>IFERROR('4. Parameters'!I27*'4. Parameters'!I26*transport_training_materials,0)</f>
        <v>0</v>
      </c>
      <c r="K47" s="189">
        <f>IFERROR('4. Parameters'!J27*'4. Parameters'!J26*transport_training_materials,0)</f>
        <v>0</v>
      </c>
      <c r="L47" s="189">
        <f>IFERROR('4. Parameters'!K27*'4. Parameters'!K26*transport_training_materials,0)</f>
        <v>0</v>
      </c>
      <c r="M47" s="189">
        <f>IFERROR('4. Parameters'!L27*'4. Parameters'!L26*transport_training_materials,0)</f>
        <v>0</v>
      </c>
    </row>
    <row r="48" spans="1:14">
      <c r="B48" s="24" t="s">
        <v>90</v>
      </c>
      <c r="D48" s="189">
        <f>IFERROR(nr_participants_workshop_finalize*nr_days_workshop_finalize*refreshments_training_materials,0)</f>
        <v>0</v>
      </c>
      <c r="E48" s="189">
        <f>IFERROR('4. Parameters'!D27*'4. Parameters'!D26*refreshments_training_materials,0)</f>
        <v>0</v>
      </c>
      <c r="F48" s="189">
        <f>IFERROR('4. Parameters'!E27*'4. Parameters'!E26*refreshments_training_materials,0)</f>
        <v>0</v>
      </c>
      <c r="G48" s="189">
        <f>IFERROR('4. Parameters'!F27*'4. Parameters'!F26*refreshments_training_materials,0)</f>
        <v>0</v>
      </c>
      <c r="H48" s="189">
        <f>IFERROR('4. Parameters'!G27*'4. Parameters'!G26*refreshments_training_materials,0)</f>
        <v>0</v>
      </c>
      <c r="I48" s="189">
        <f>IFERROR('4. Parameters'!H27*'4. Parameters'!H26*refreshments_training_materials,0)</f>
        <v>0</v>
      </c>
      <c r="J48" s="189">
        <f>IFERROR('4. Parameters'!I27*'4. Parameters'!I26*refreshments_training_materials,0)</f>
        <v>0</v>
      </c>
      <c r="K48" s="189">
        <f>IFERROR('4. Parameters'!J27*'4. Parameters'!J26*refreshments_training_materials,0)</f>
        <v>0</v>
      </c>
      <c r="L48" s="189">
        <f>IFERROR('4. Parameters'!K27*'4. Parameters'!K26*refreshments_training_materials,0)</f>
        <v>0</v>
      </c>
      <c r="M48" s="189">
        <f>IFERROR('4. Parameters'!L27*'4. Parameters'!L26*refreshments_training_materials,0)</f>
        <v>0</v>
      </c>
    </row>
    <row r="49" spans="1:13">
      <c r="B49" s="24" t="s">
        <v>91</v>
      </c>
      <c r="D49" s="189">
        <f>IFERROR(nr_days_workshop_finalize*room_rental_training_materials,0)</f>
        <v>0</v>
      </c>
      <c r="E49" s="189">
        <f>IFERROR('4. Parameters'!D26*room_rental_training_materials,0)</f>
        <v>0</v>
      </c>
      <c r="F49" s="189">
        <f>IFERROR('4. Parameters'!E26*room_rental_training_materials,0)</f>
        <v>0</v>
      </c>
      <c r="G49" s="189">
        <f>IFERROR('4. Parameters'!F26*room_rental_training_materials,0)</f>
        <v>0</v>
      </c>
      <c r="H49" s="189">
        <f>IFERROR('4. Parameters'!G26*room_rental_training_materials,0)</f>
        <v>0</v>
      </c>
      <c r="I49" s="189">
        <f>IFERROR('4. Parameters'!H26*room_rental_training_materials,0)</f>
        <v>0</v>
      </c>
      <c r="J49" s="189">
        <f>IFERROR('4. Parameters'!I26*room_rental_training_materials,0)</f>
        <v>0</v>
      </c>
      <c r="K49" s="189">
        <f>IFERROR('4. Parameters'!J26*room_rental_training_materials,0)</f>
        <v>0</v>
      </c>
      <c r="L49" s="189">
        <f>IFERROR('4. Parameters'!K26*room_rental_training_materials,0)</f>
        <v>0</v>
      </c>
      <c r="M49" s="189">
        <f>IFERROR('4. Parameters'!L26*room_rental_training_materials,0)</f>
        <v>0</v>
      </c>
    </row>
    <row r="50" spans="1:13">
      <c r="B50" s="24" t="s">
        <v>68</v>
      </c>
      <c r="D50" s="189">
        <f>IFERROR(nr_days_workshop_finalize*workshop_package_materials,0)</f>
        <v>0</v>
      </c>
      <c r="E50" s="189">
        <f>IFERROR('4. Parameters'!D27*workshop_package_materials,0)</f>
        <v>0</v>
      </c>
      <c r="F50" s="189">
        <f>IFERROR('4. Parameters'!E27*workshop_package_materials,0)</f>
        <v>0</v>
      </c>
      <c r="G50" s="189">
        <f>IFERROR('4. Parameters'!F27*workshop_package_materials,0)</f>
        <v>0</v>
      </c>
      <c r="H50" s="189">
        <f>IFERROR('4. Parameters'!G27*workshop_package_materials,0)</f>
        <v>0</v>
      </c>
      <c r="I50" s="189">
        <f>IFERROR('4. Parameters'!H27*workshop_package_materials,0)</f>
        <v>0</v>
      </c>
      <c r="J50" s="189">
        <f>IFERROR('4. Parameters'!I27*workshop_package_materials,0)</f>
        <v>0</v>
      </c>
      <c r="K50" s="189">
        <f>IFERROR('4. Parameters'!J27*workshop_package_materials,0)</f>
        <v>0</v>
      </c>
      <c r="L50" s="189">
        <f>IFERROR('4. Parameters'!K27*workshop_package_materials,0)</f>
        <v>0</v>
      </c>
      <c r="M50" s="189">
        <f>IFERROR('4. Parameters'!L27*workshop_package_materials,0)</f>
        <v>0</v>
      </c>
    </row>
    <row r="51" spans="1:13">
      <c r="B51" s="29" t="s">
        <v>173</v>
      </c>
      <c r="D51" s="191">
        <f>SUM(D46:D50)</f>
        <v>0</v>
      </c>
      <c r="E51" s="191">
        <f t="shared" ref="E51:M51" si="5">SUM(E46:E50)</f>
        <v>0</v>
      </c>
      <c r="F51" s="191">
        <f t="shared" si="5"/>
        <v>0</v>
      </c>
      <c r="G51" s="191">
        <f t="shared" si="5"/>
        <v>0</v>
      </c>
      <c r="H51" s="191">
        <f t="shared" si="5"/>
        <v>0</v>
      </c>
      <c r="I51" s="191">
        <f t="shared" si="5"/>
        <v>0</v>
      </c>
      <c r="J51" s="191">
        <f t="shared" si="5"/>
        <v>0</v>
      </c>
      <c r="K51" s="191">
        <f t="shared" si="5"/>
        <v>0</v>
      </c>
      <c r="L51" s="191">
        <f t="shared" si="5"/>
        <v>0</v>
      </c>
      <c r="M51" s="191">
        <f t="shared" si="5"/>
        <v>0</v>
      </c>
    </row>
    <row r="52" spans="1:13">
      <c r="D52" s="107"/>
      <c r="E52" s="107"/>
      <c r="F52" s="107"/>
      <c r="G52" s="107"/>
      <c r="H52" s="107"/>
      <c r="I52" s="107"/>
      <c r="J52" s="107"/>
      <c r="K52" s="107"/>
      <c r="L52" s="107"/>
      <c r="M52" s="107"/>
    </row>
    <row r="53" spans="1:13">
      <c r="D53" s="107"/>
      <c r="E53" s="107"/>
      <c r="F53" s="107"/>
      <c r="G53" s="107"/>
      <c r="H53" s="107"/>
      <c r="I53" s="107"/>
      <c r="J53" s="107"/>
      <c r="K53" s="107"/>
      <c r="L53" s="107"/>
      <c r="M53" s="107"/>
    </row>
    <row r="54" spans="1:13">
      <c r="A54" s="25" t="s">
        <v>337</v>
      </c>
      <c r="D54" s="107"/>
      <c r="E54" s="107"/>
      <c r="F54" s="107"/>
      <c r="G54" s="107"/>
      <c r="H54" s="107"/>
      <c r="I54" s="107"/>
      <c r="J54" s="107"/>
      <c r="K54" s="107"/>
      <c r="L54" s="107"/>
      <c r="M54" s="107"/>
    </row>
    <row r="55" spans="1:13">
      <c r="A55" s="25"/>
      <c r="D55" s="107"/>
      <c r="E55" s="107"/>
      <c r="F55" s="107"/>
      <c r="G55" s="107"/>
      <c r="H55" s="107"/>
      <c r="I55" s="107"/>
      <c r="J55" s="107"/>
      <c r="K55" s="107"/>
      <c r="L55" s="107"/>
      <c r="M55" s="107"/>
    </row>
    <row r="56" spans="1:13">
      <c r="B56" s="29" t="s">
        <v>93</v>
      </c>
      <c r="D56" s="188">
        <f>IFERROR(nr_participants_workshop_validate*per_diem_pediatric_TB_committee,0)</f>
        <v>0</v>
      </c>
      <c r="E56" s="188">
        <f>IFERROR('4. Parameters'!D29*per_diem_pediatric_TB_committee,0)</f>
        <v>0</v>
      </c>
      <c r="F56" s="188">
        <f>IFERROR('4. Parameters'!E29*per_diem_pediatric_TB_committee,0)</f>
        <v>0</v>
      </c>
      <c r="G56" s="188">
        <f>IFERROR('4. Parameters'!F29*per_diem_pediatric_TB_committee,0)</f>
        <v>0</v>
      </c>
      <c r="H56" s="188">
        <f>IFERROR('4. Parameters'!G29*per_diem_pediatric_TB_committee,0)</f>
        <v>0</v>
      </c>
      <c r="I56" s="188">
        <f>IFERROR('4. Parameters'!H29*per_diem_pediatric_TB_committee,0)</f>
        <v>0</v>
      </c>
      <c r="J56" s="188">
        <f>IFERROR('4. Parameters'!I29*per_diem_pediatric_TB_committee,0)</f>
        <v>0</v>
      </c>
      <c r="K56" s="188">
        <f>IFERROR('4. Parameters'!J29*per_diem_pediatric_TB_committee,0)</f>
        <v>0</v>
      </c>
      <c r="L56" s="188">
        <f>IFERROR('4. Parameters'!K29*per_diem_pediatric_TB_committee,0)</f>
        <v>0</v>
      </c>
      <c r="M56" s="188">
        <f>IFERROR('4. Parameters'!L29*per_diem_pediatric_TB_committee,0)</f>
        <v>0</v>
      </c>
    </row>
    <row r="57" spans="1:13">
      <c r="B57" s="24" t="s">
        <v>94</v>
      </c>
      <c r="D57" s="189">
        <f>IFERROR(nr_participants_workshop_validate*nr_days_workshop_validate*transport_training_materials,0)</f>
        <v>0</v>
      </c>
      <c r="E57" s="189">
        <f>IFERROR('4. Parameters'!D29*'4. Parameters'!D28*transport_training_materials,0)</f>
        <v>0</v>
      </c>
      <c r="F57" s="189">
        <f>IFERROR('4. Parameters'!E29*'4. Parameters'!E28*transport_training_materials,0)</f>
        <v>0</v>
      </c>
      <c r="G57" s="189">
        <f>IFERROR('4. Parameters'!F29*'4. Parameters'!F28*transport_training_materials,0)</f>
        <v>0</v>
      </c>
      <c r="H57" s="189">
        <f>IFERROR('4. Parameters'!G29*'4. Parameters'!G28*transport_training_materials,0)</f>
        <v>0</v>
      </c>
      <c r="I57" s="189">
        <f>IFERROR('4. Parameters'!H29*'4. Parameters'!H28*transport_training_materials,0)</f>
        <v>0</v>
      </c>
      <c r="J57" s="189">
        <f>IFERROR('4. Parameters'!I29*'4. Parameters'!I28*transport_training_materials,0)</f>
        <v>0</v>
      </c>
      <c r="K57" s="189">
        <f>IFERROR('4. Parameters'!J29*'4. Parameters'!J28*transport_training_materials,0)</f>
        <v>0</v>
      </c>
      <c r="L57" s="189">
        <f>IFERROR('4. Parameters'!K29*'4. Parameters'!K28*transport_training_materials,0)</f>
        <v>0</v>
      </c>
      <c r="M57" s="189">
        <f>IFERROR('4. Parameters'!L29*'4. Parameters'!L28*transport_training_materials,0)</f>
        <v>0</v>
      </c>
    </row>
    <row r="58" spans="1:13">
      <c r="B58" s="24" t="s">
        <v>90</v>
      </c>
      <c r="D58" s="189">
        <f>IFERROR(nr_participants_workshop_validate*nr_days_workshop_validate*refreshments_training_materials,0)</f>
        <v>0</v>
      </c>
      <c r="E58" s="189">
        <f>IFERROR('4. Parameters'!D29*'4. Parameters'!D28*refreshments_training_materials,0)</f>
        <v>0</v>
      </c>
      <c r="F58" s="189">
        <f>IFERROR('4. Parameters'!E29*'4. Parameters'!E28*refreshments_training_materials,0)</f>
        <v>0</v>
      </c>
      <c r="G58" s="189">
        <f>IFERROR('4. Parameters'!F29*'4. Parameters'!F28*refreshments_training_materials,0)</f>
        <v>0</v>
      </c>
      <c r="H58" s="189">
        <f>IFERROR('4. Parameters'!G29*'4. Parameters'!G28*refreshments_training_materials,0)</f>
        <v>0</v>
      </c>
      <c r="I58" s="189">
        <f>IFERROR('4. Parameters'!H29*'4. Parameters'!H28*refreshments_training_materials,0)</f>
        <v>0</v>
      </c>
      <c r="J58" s="189">
        <f>IFERROR('4. Parameters'!I29*'4. Parameters'!I28*refreshments_training_materials,0)</f>
        <v>0</v>
      </c>
      <c r="K58" s="189">
        <f>IFERROR('4. Parameters'!J29*'4. Parameters'!J28*refreshments_training_materials,0)</f>
        <v>0</v>
      </c>
      <c r="L58" s="189">
        <f>IFERROR('4. Parameters'!K29*'4. Parameters'!K28*refreshments_training_materials,0)</f>
        <v>0</v>
      </c>
      <c r="M58" s="189">
        <f>IFERROR('4. Parameters'!L29*'4. Parameters'!L28*refreshments_training_materials,0)</f>
        <v>0</v>
      </c>
    </row>
    <row r="59" spans="1:13">
      <c r="B59" s="24" t="s">
        <v>91</v>
      </c>
      <c r="D59" s="189">
        <f>IFERROR(nr_days_workshop_validate*room_rental_training_materials,0)</f>
        <v>0</v>
      </c>
      <c r="E59" s="189">
        <f>IFERROR('4. Parameters'!D28*room_rental_training_materials,0)</f>
        <v>0</v>
      </c>
      <c r="F59" s="189">
        <f>IFERROR('4. Parameters'!E28*room_rental_training_materials,0)</f>
        <v>0</v>
      </c>
      <c r="G59" s="189">
        <f>IFERROR('4. Parameters'!F28*room_rental_training_materials,0)</f>
        <v>0</v>
      </c>
      <c r="H59" s="189">
        <f>IFERROR('4. Parameters'!G28*room_rental_training_materials,0)</f>
        <v>0</v>
      </c>
      <c r="I59" s="189">
        <f>IFERROR('4. Parameters'!H28*room_rental_training_materials,0)</f>
        <v>0</v>
      </c>
      <c r="J59" s="189">
        <f>IFERROR('4. Parameters'!I28*room_rental_training_materials,0)</f>
        <v>0</v>
      </c>
      <c r="K59" s="189">
        <f>IFERROR('4. Parameters'!J28*room_rental_training_materials,0)</f>
        <v>0</v>
      </c>
      <c r="L59" s="189">
        <f>IFERROR('4. Parameters'!K28*room_rental_training_materials,0)</f>
        <v>0</v>
      </c>
      <c r="M59" s="189">
        <f>IFERROR('4. Parameters'!L28*room_rental_training_materials,0)</f>
        <v>0</v>
      </c>
    </row>
    <row r="60" spans="1:13">
      <c r="B60" s="24" t="s">
        <v>68</v>
      </c>
      <c r="D60" s="189">
        <f>IFERROR(nr_days_workshop_validate*workshop_package_materials,0)</f>
        <v>0</v>
      </c>
      <c r="E60" s="189">
        <f>IFERROR('4. Parameters'!D29*workshop_package_materials,0)</f>
        <v>0</v>
      </c>
      <c r="F60" s="189">
        <f>IFERROR('4. Parameters'!E29*workshop_package_materials,0)</f>
        <v>0</v>
      </c>
      <c r="G60" s="189">
        <f>IFERROR('4. Parameters'!F29*workshop_package_materials,0)</f>
        <v>0</v>
      </c>
      <c r="H60" s="189">
        <f>IFERROR('4. Parameters'!G29*workshop_package_materials,0)</f>
        <v>0</v>
      </c>
      <c r="I60" s="189">
        <f>IFERROR('4. Parameters'!H29*workshop_package_materials,0)</f>
        <v>0</v>
      </c>
      <c r="J60" s="189">
        <f>IFERROR('4. Parameters'!I29*workshop_package_materials,0)</f>
        <v>0</v>
      </c>
      <c r="K60" s="189">
        <f>IFERROR('4. Parameters'!J29*workshop_package_materials,0)</f>
        <v>0</v>
      </c>
      <c r="L60" s="189">
        <f>IFERROR('4. Parameters'!K29*workshop_package_materials,0)</f>
        <v>0</v>
      </c>
      <c r="M60" s="189">
        <f>IFERROR('4. Parameters'!L29*workshop_package_materials,0)</f>
        <v>0</v>
      </c>
    </row>
    <row r="61" spans="1:13">
      <c r="B61" s="29" t="s">
        <v>175</v>
      </c>
      <c r="D61" s="191">
        <f>SUM(D56:D60)</f>
        <v>0</v>
      </c>
      <c r="E61" s="191">
        <f t="shared" ref="E61:M61" si="6">SUM(E56:E60)</f>
        <v>0</v>
      </c>
      <c r="F61" s="191">
        <f t="shared" si="6"/>
        <v>0</v>
      </c>
      <c r="G61" s="191">
        <f t="shared" si="6"/>
        <v>0</v>
      </c>
      <c r="H61" s="191">
        <f t="shared" si="6"/>
        <v>0</v>
      </c>
      <c r="I61" s="191">
        <f t="shared" si="6"/>
        <v>0</v>
      </c>
      <c r="J61" s="191">
        <f t="shared" si="6"/>
        <v>0</v>
      </c>
      <c r="K61" s="191">
        <f t="shared" si="6"/>
        <v>0</v>
      </c>
      <c r="L61" s="191">
        <f t="shared" si="6"/>
        <v>0</v>
      </c>
      <c r="M61" s="191">
        <f t="shared" si="6"/>
        <v>0</v>
      </c>
    </row>
  </sheetData>
  <hyperlinks>
    <hyperlink ref="A3" location="'1. Training materials'!A12:M15" display="1.1 Consultant fees (Hiring a consultant to develop training material)" xr:uid="{00000000-0004-0000-0500-000000000000}"/>
    <hyperlink ref="A4" location="'1. Training materials'!A18:M23" display="1.2 Briefing meeting at the NTP with consultant " xr:uid="{00000000-0004-0000-0500-000001000000}"/>
    <hyperlink ref="A5" location="'1. Training materials'!A26:M31" display="1.3 Inception meeting with the relevant technical working group or committee to discuss and finalize the work plan and methodology/ review processes" xr:uid="{00000000-0004-0000-0500-000002000000}"/>
    <hyperlink ref="A6" location="'1. Training materials'!A34:M41" display="1.4 Review workshop - to present the draft training materials (including job aides) to the national pediatric TB committee " xr:uid="{00000000-0004-0000-0500-000003000000}"/>
    <hyperlink ref="A7" location="'1. Training materials'!A44:M51" display="1.5 Workshop with the consultant and NTP to finalize training material and incorporate feedback received during the workshop" xr:uid="{00000000-0004-0000-0500-000004000000}"/>
    <hyperlink ref="A8" location="'1. Training materials'!A54:M61" display="1.6 Workshop to pretest / validate the  training materials (including job aides)" xr:uid="{00000000-0004-0000-0500-000005000000}"/>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0" tint="-0.499984740745262"/>
  </sheetPr>
  <dimension ref="A2:M230"/>
  <sheetViews>
    <sheetView showGridLines="0" workbookViewId="0">
      <pane ySplit="9" topLeftCell="A10" activePane="bottomLeft" state="frozen"/>
      <selection pane="bottomLeft" activeCell="E25" sqref="E25"/>
    </sheetView>
  </sheetViews>
  <sheetFormatPr baseColWidth="10" defaultColWidth="11.5" defaultRowHeight="15"/>
  <cols>
    <col min="2" max="2" width="71.5" bestFit="1" customWidth="1"/>
    <col min="4" max="4" width="16.6640625" bestFit="1" customWidth="1"/>
    <col min="5" max="13" width="13.83203125" bestFit="1" customWidth="1"/>
  </cols>
  <sheetData>
    <row r="2" spans="1:13" s="24" customFormat="1" ht="16">
      <c r="A2" s="25" t="s">
        <v>29</v>
      </c>
    </row>
    <row r="4" spans="1:13" s="24" customFormat="1" ht="16">
      <c r="B4" s="35" t="s">
        <v>30</v>
      </c>
    </row>
    <row r="5" spans="1:13" s="24" customFormat="1" ht="16">
      <c r="B5" s="35" t="s">
        <v>156</v>
      </c>
    </row>
    <row r="6" spans="1:13" s="24" customFormat="1" ht="16">
      <c r="B6" s="35" t="s">
        <v>31</v>
      </c>
      <c r="G6" s="155">
        <v>0</v>
      </c>
    </row>
    <row r="7" spans="1:13" s="24" customFormat="1" ht="16">
      <c r="B7" s="35" t="s">
        <v>35</v>
      </c>
    </row>
    <row r="8" spans="1:13" s="24" customFormat="1" ht="16">
      <c r="A8" s="25"/>
    </row>
    <row r="9" spans="1:13" s="27" customFormat="1" ht="16">
      <c r="D9" s="36">
        <f>start_year</f>
        <v>2020</v>
      </c>
      <c r="E9" s="36">
        <f t="shared" ref="E9:M9" si="0">D9+1</f>
        <v>2021</v>
      </c>
      <c r="F9" s="36">
        <f t="shared" si="0"/>
        <v>2022</v>
      </c>
      <c r="G9" s="36">
        <f t="shared" si="0"/>
        <v>2023</v>
      </c>
      <c r="H9" s="36">
        <f t="shared" si="0"/>
        <v>2024</v>
      </c>
      <c r="I9" s="36">
        <f t="shared" si="0"/>
        <v>2025</v>
      </c>
      <c r="J9" s="36">
        <f t="shared" si="0"/>
        <v>2026</v>
      </c>
      <c r="K9" s="36">
        <f t="shared" si="0"/>
        <v>2027</v>
      </c>
      <c r="L9" s="36">
        <f t="shared" si="0"/>
        <v>2028</v>
      </c>
      <c r="M9" s="36">
        <f t="shared" si="0"/>
        <v>2029</v>
      </c>
    </row>
    <row r="10" spans="1:13" s="27" customFormat="1" ht="16">
      <c r="A10" s="25" t="s">
        <v>116</v>
      </c>
      <c r="D10" s="36"/>
      <c r="E10" s="36"/>
      <c r="F10" s="36"/>
      <c r="G10" s="36"/>
      <c r="H10" s="36"/>
      <c r="I10" s="36"/>
      <c r="J10" s="36"/>
      <c r="K10" s="36"/>
      <c r="L10" s="36"/>
      <c r="M10" s="36"/>
    </row>
    <row r="11" spans="1:13" s="24" customFormat="1" ht="16">
      <c r="B11" s="24" t="s">
        <v>93</v>
      </c>
      <c r="D11" s="193">
        <f>IFERROR(nr_sessions_py_tot_c*nr_days_per_session_tot_c*((nr_participants_per_diem_tot_c*per_diem_participants_central_ToT)),0)</f>
        <v>0</v>
      </c>
      <c r="E11" s="194">
        <f>IFERROR('4. Parameters'!D32*'4. Parameters'!D33*(('4. Parameters'!D35*per_diem_participants_central_ToT)),0)</f>
        <v>0</v>
      </c>
      <c r="F11" s="194">
        <f>IFERROR('4. Parameters'!E32*'4. Parameters'!E33*(('4. Parameters'!E35*per_diem_participants_central_ToT)),0)</f>
        <v>0</v>
      </c>
      <c r="G11" s="194">
        <f>IFERROR('4. Parameters'!F32*'4. Parameters'!F33*(('4. Parameters'!F35*per_diem_participants_central_ToT)),0)</f>
        <v>0</v>
      </c>
      <c r="H11" s="194">
        <f>IFERROR('4. Parameters'!G32*'4. Parameters'!G33*(('4. Parameters'!G35*per_diem_participants_central_ToT)),0)</f>
        <v>0</v>
      </c>
      <c r="I11" s="194">
        <f>IFERROR('4. Parameters'!H32*'4. Parameters'!H33*(('4. Parameters'!H35*per_diem_participants_central_ToT)),0)</f>
        <v>0</v>
      </c>
      <c r="J11" s="194">
        <f>IFERROR('4. Parameters'!I32*'4. Parameters'!I33*(('4. Parameters'!I35*per_diem_participants_central_ToT)),0)</f>
        <v>0</v>
      </c>
      <c r="K11" s="194">
        <f>IFERROR('4. Parameters'!J32*'4. Parameters'!J33*(('4. Parameters'!J35*per_diem_participants_central_ToT)),0)</f>
        <v>0</v>
      </c>
      <c r="L11" s="194">
        <f>IFERROR('4. Parameters'!K32*'4. Parameters'!K33*(('4. Parameters'!K35*per_diem_participants_central_ToT)),0)</f>
        <v>0</v>
      </c>
      <c r="M11" s="194">
        <f>IFERROR('4. Parameters'!L32*'4. Parameters'!L33*(('4. Parameters'!L35*per_diem_participants_central_ToT)),0)</f>
        <v>0</v>
      </c>
    </row>
    <row r="12" spans="1:13" s="24" customFormat="1" ht="16">
      <c r="B12" s="24" t="s">
        <v>214</v>
      </c>
      <c r="D12" s="194">
        <f>IFERROR(nr_sessions_py_tot_c*nr_days_per_session_tot_c*(nr_faciliators_tot_c*(facilitation_fee_central_ToT + per_diem_facilitators_central_ToT)),0)</f>
        <v>0</v>
      </c>
      <c r="E12" s="194">
        <f>IFERROR('4. Parameters'!D32*'4. Parameters'!D33*('4. Parameters'!D36*(facilitation_fee_central_ToT + per_diem_facilitators_central_ToT)),0)</f>
        <v>0</v>
      </c>
      <c r="F12" s="194">
        <f>IFERROR('4. Parameters'!E32*'4. Parameters'!E33*('4. Parameters'!E36*(facilitation_fee_central_ToT + per_diem_facilitators_central_ToT)),0)</f>
        <v>0</v>
      </c>
      <c r="G12" s="194">
        <f>IFERROR('4. Parameters'!F32*'4. Parameters'!F33*('4. Parameters'!F36*(facilitation_fee_central_ToT + per_diem_facilitators_central_ToT)),0)</f>
        <v>0</v>
      </c>
      <c r="H12" s="194">
        <f>IFERROR('4. Parameters'!G32*'4. Parameters'!G33*('4. Parameters'!G36*(facilitation_fee_central_ToT + per_diem_facilitators_central_ToT)),0)</f>
        <v>0</v>
      </c>
      <c r="I12" s="194">
        <f>IFERROR('4. Parameters'!H32*'4. Parameters'!H33*('4. Parameters'!H36*(facilitation_fee_central_ToT + per_diem_facilitators_central_ToT)),0)</f>
        <v>0</v>
      </c>
      <c r="J12" s="194">
        <f>IFERROR('4. Parameters'!I32*'4. Parameters'!I33*('4. Parameters'!I36*(facilitation_fee_central_ToT + per_diem_facilitators_central_ToT)),0)</f>
        <v>0</v>
      </c>
      <c r="K12" s="194">
        <f>IFERROR('4. Parameters'!J32*'4. Parameters'!J33*('4. Parameters'!J36*(facilitation_fee_central_ToT + per_diem_facilitators_central_ToT)),0)</f>
        <v>0</v>
      </c>
      <c r="L12" s="194">
        <f>IFERROR('4. Parameters'!K32*'4. Parameters'!K33*('4. Parameters'!K36*(facilitation_fee_central_ToT + per_diem_facilitators_central_ToT)),0)</f>
        <v>0</v>
      </c>
      <c r="M12" s="194">
        <f>IFERROR('4. Parameters'!L32*'4. Parameters'!L33*('4. Parameters'!L36*(facilitation_fee_central_ToT + per_diem_facilitators_central_ToT)),0)</f>
        <v>0</v>
      </c>
    </row>
    <row r="13" spans="1:13" s="24" customFormat="1" ht="16">
      <c r="B13" s="24" t="s">
        <v>215</v>
      </c>
      <c r="D13" s="194">
        <f>IFERROR(nr_sessions_py_tot_c*nr_days_per_session_tot_c*(nr_int_faciliators_tot_c*per_diem_int_facilitator_central_ToT),0)</f>
        <v>0</v>
      </c>
      <c r="E13" s="194">
        <f>IFERROR('4. Parameters'!D32*'4. Parameters'!D33*('4. Parameters'!D38*per_diem_int_facilitator_central_ToT),0)</f>
        <v>0</v>
      </c>
      <c r="F13" s="194">
        <f>IFERROR('4. Parameters'!E32*'4. Parameters'!E33*('4. Parameters'!E38*per_diem_int_facilitator_central_ToT),0)</f>
        <v>0</v>
      </c>
      <c r="G13" s="194">
        <f>IFERROR('4. Parameters'!F32*'4. Parameters'!F33*('4. Parameters'!F38*per_diem_int_facilitator_central_ToT),0)</f>
        <v>0</v>
      </c>
      <c r="H13" s="194">
        <f>IFERROR('4. Parameters'!G32*'4. Parameters'!G33*('4. Parameters'!G38*per_diem_int_facilitator_central_ToT),0)</f>
        <v>0</v>
      </c>
      <c r="I13" s="194">
        <f>IFERROR('4. Parameters'!H32*'4. Parameters'!H33*('4. Parameters'!H38*per_diem_int_facilitator_central_ToT),0)</f>
        <v>0</v>
      </c>
      <c r="J13" s="194">
        <f>IFERROR('4. Parameters'!I32*'4. Parameters'!I33*('4. Parameters'!I38*per_diem_int_facilitator_central_ToT),0)</f>
        <v>0</v>
      </c>
      <c r="K13" s="194">
        <f>IFERROR('4. Parameters'!J32*'4. Parameters'!J33*('4. Parameters'!J38*per_diem_int_facilitator_central_ToT),0)</f>
        <v>0</v>
      </c>
      <c r="L13" s="194">
        <f>IFERROR('4. Parameters'!K32*'4. Parameters'!K33*('4. Parameters'!K38*per_diem_int_facilitator_central_ToT),0)</f>
        <v>0</v>
      </c>
      <c r="M13" s="194">
        <f>IFERROR('4. Parameters'!L32*'4. Parameters'!L33*('4. Parameters'!L38*per_diem_int_facilitator_central_ToT),0)</f>
        <v>0</v>
      </c>
    </row>
    <row r="14" spans="1:13" s="24" customFormat="1" ht="16">
      <c r="B14" s="24" t="s">
        <v>94</v>
      </c>
      <c r="D14" s="194">
        <f>IFERROR(nr_sessions_py_tot_c*nr_days_per_session_tot_c*((nr_participants_tot_c*transport_participant_central_ToT)),0)</f>
        <v>0</v>
      </c>
      <c r="E14" s="194">
        <f>IFERROR('4. Parameters'!D32*'4. Parameters'!D33*(('4. Parameters'!D34*transport_participant_central_ToT)),0)</f>
        <v>0</v>
      </c>
      <c r="F14" s="194">
        <f>IFERROR('4. Parameters'!E32*'4. Parameters'!E33*(('4. Parameters'!E34*transport_participant_central_ToT)),0)</f>
        <v>0</v>
      </c>
      <c r="G14" s="194">
        <f>IFERROR('4. Parameters'!F32*'4. Parameters'!F33*(('4. Parameters'!F34*transport_participant_central_ToT)),0)</f>
        <v>0</v>
      </c>
      <c r="H14" s="194">
        <f>IFERROR('4. Parameters'!G32*'4. Parameters'!G33*(('4. Parameters'!G34*transport_participant_central_ToT)),0)</f>
        <v>0</v>
      </c>
      <c r="I14" s="194">
        <f>IFERROR('4. Parameters'!H32*'4. Parameters'!H33*(('4. Parameters'!H34*transport_participant_central_ToT)),0)</f>
        <v>0</v>
      </c>
      <c r="J14" s="194">
        <f>IFERROR('4. Parameters'!I32*'4. Parameters'!I33*(('4. Parameters'!I34*transport_participant_central_ToT)),0)</f>
        <v>0</v>
      </c>
      <c r="K14" s="194">
        <f>IFERROR('4. Parameters'!J32*'4. Parameters'!J33*(('4. Parameters'!J34*transport_participant_central_ToT)),0)</f>
        <v>0</v>
      </c>
      <c r="L14" s="194">
        <f>IFERROR('4. Parameters'!K32*'4. Parameters'!K33*(('4. Parameters'!K34*transport_participant_central_ToT)),0)</f>
        <v>0</v>
      </c>
      <c r="M14" s="194">
        <f>IFERROR('4. Parameters'!L32*'4. Parameters'!L33*(('4. Parameters'!L34*transport_participant_central_ToT)),0)</f>
        <v>0</v>
      </c>
    </row>
    <row r="15" spans="1:13" s="24" customFormat="1" ht="16">
      <c r="B15" s="24" t="s">
        <v>95</v>
      </c>
      <c r="D15" s="194">
        <f>IFERROR(nr_sessions_py_tot_c*nr_days_per_session_tot_c*((nr_faciliators_tot_c*transport_facilitator_central_ToT)),0)</f>
        <v>0</v>
      </c>
      <c r="E15" s="194">
        <f>IFERROR('4. Parameters'!D32*'4. Parameters'!D33*(('4. Parameters'!D36*transport_facilitator_central_ToT)),0)</f>
        <v>0</v>
      </c>
      <c r="F15" s="194">
        <f>IFERROR('4. Parameters'!E32*'4. Parameters'!E33*(('4. Parameters'!E36*transport_facilitator_central_ToT)),0)</f>
        <v>0</v>
      </c>
      <c r="G15" s="194">
        <f>IFERROR('4. Parameters'!F32*'4. Parameters'!F33*(('4. Parameters'!F36*transport_facilitator_central_ToT)),0)</f>
        <v>0</v>
      </c>
      <c r="H15" s="194">
        <f>IFERROR('4. Parameters'!G32*'4. Parameters'!G33*(('4. Parameters'!G36*transport_facilitator_central_ToT)),0)</f>
        <v>0</v>
      </c>
      <c r="I15" s="194">
        <f>IFERROR('4. Parameters'!H32*'4. Parameters'!H33*(('4. Parameters'!H36*transport_facilitator_central_ToT)),0)</f>
        <v>0</v>
      </c>
      <c r="J15" s="194">
        <f>IFERROR('4. Parameters'!I32*'4. Parameters'!I33*(('4. Parameters'!I36*transport_facilitator_central_ToT)),0)</f>
        <v>0</v>
      </c>
      <c r="K15" s="194">
        <f>IFERROR('4. Parameters'!J32*'4. Parameters'!J33*(('4. Parameters'!J36*transport_facilitator_central_ToT)),0)</f>
        <v>0</v>
      </c>
      <c r="L15" s="194">
        <f>IFERROR('4. Parameters'!K32*'4. Parameters'!K33*(('4. Parameters'!K36*transport_facilitator_central_ToT)),0)</f>
        <v>0</v>
      </c>
      <c r="M15" s="194">
        <f>IFERROR('4. Parameters'!L32*'4. Parameters'!L33*(('4. Parameters'!L36*transport_facilitator_central_ToT)),0)</f>
        <v>0</v>
      </c>
    </row>
    <row r="16" spans="1:13" s="24" customFormat="1" ht="16">
      <c r="B16" s="24" t="s">
        <v>216</v>
      </c>
      <c r="D16" s="194">
        <f>IFERROR(nr_sessions_py_tot_c*nr_days_per_session_tot_c*(nr_int_faciliators_tot_c*international_travel_central_ToT),0)</f>
        <v>0</v>
      </c>
      <c r="E16" s="194">
        <f>IFERROR('4. Parameters'!D32*'4. Parameters'!D38*('4. Parameters'!D40*international_travel_central_ToT),0)</f>
        <v>0</v>
      </c>
      <c r="F16" s="194">
        <f>IFERROR('4. Parameters'!E32*'4. Parameters'!E38*('4. Parameters'!E40*international_travel_central_ToT),0)</f>
        <v>0</v>
      </c>
      <c r="G16" s="194">
        <f>IFERROR('4. Parameters'!F32*'4. Parameters'!F38*('4. Parameters'!F40*international_travel_central_ToT),0)</f>
        <v>0</v>
      </c>
      <c r="H16" s="194">
        <f>IFERROR('4. Parameters'!G32*'4. Parameters'!G38*('4. Parameters'!G40*international_travel_central_ToT),0)</f>
        <v>0</v>
      </c>
      <c r="I16" s="194">
        <f>IFERROR('4. Parameters'!H32*'4. Parameters'!H38*('4. Parameters'!H40*international_travel_central_ToT),0)</f>
        <v>0</v>
      </c>
      <c r="J16" s="194">
        <f>IFERROR('4. Parameters'!I32*'4. Parameters'!I38*('4. Parameters'!I40*international_travel_central_ToT),0)</f>
        <v>0</v>
      </c>
      <c r="K16" s="194">
        <f>IFERROR('4. Parameters'!J32*'4. Parameters'!J38*('4. Parameters'!J40*international_travel_central_ToT),0)</f>
        <v>0</v>
      </c>
      <c r="L16" s="194">
        <f>IFERROR('4. Parameters'!K32*'4. Parameters'!K38*('4. Parameters'!K40*international_travel_central_ToT),0)</f>
        <v>0</v>
      </c>
      <c r="M16" s="194">
        <f>IFERROR('4. Parameters'!L32*'4. Parameters'!L38*('4. Parameters'!L40*international_travel_central_ToT),0)</f>
        <v>0</v>
      </c>
    </row>
    <row r="17" spans="1:13" s="24" customFormat="1" ht="16">
      <c r="B17" s="24" t="s">
        <v>89</v>
      </c>
      <c r="D17" s="194">
        <f>IFERROR(nr_sessions_py_tot_c*nr_days_per_session_tot_c*((nr_participants_hotel_tot_c+nr_faciliators_hotel_tot_c)*hotel_cost_central_ToT),0)</f>
        <v>0</v>
      </c>
      <c r="E17" s="194">
        <f>IFERROR('4. Parameters'!D32*'4. Parameters'!D33*(('4. Parameters'!D37+'4. Parameters'!D38+'4. Parameters'!D39)*hotel_cost_central_ToT),0)</f>
        <v>0</v>
      </c>
      <c r="F17" s="194">
        <f>IFERROR('4. Parameters'!E32*'4. Parameters'!E33*(('4. Parameters'!E37+'4. Parameters'!E38+'4. Parameters'!E39)*hotel_cost_central_ToT),0)</f>
        <v>0</v>
      </c>
      <c r="G17" s="194">
        <f>IFERROR('4. Parameters'!F32*'4. Parameters'!F33*(('4. Parameters'!F37+'4. Parameters'!F38+'4. Parameters'!F39)*hotel_cost_central_ToT),0)</f>
        <v>0</v>
      </c>
      <c r="H17" s="194">
        <f>IFERROR('4. Parameters'!G32*'4. Parameters'!G33*(('4. Parameters'!G37+'4. Parameters'!G38+'4. Parameters'!G39)*hotel_cost_central_ToT),0)</f>
        <v>0</v>
      </c>
      <c r="I17" s="194">
        <f>IFERROR('4. Parameters'!H32*'4. Parameters'!H33*(('4. Parameters'!H37+'4. Parameters'!H38+'4. Parameters'!H39)*hotel_cost_central_ToT),0)</f>
        <v>0</v>
      </c>
      <c r="J17" s="194">
        <f>IFERROR('4. Parameters'!I32*'4. Parameters'!I33*(('4. Parameters'!I37+'4. Parameters'!I38+'4. Parameters'!I39)*hotel_cost_central_ToT),0)</f>
        <v>0</v>
      </c>
      <c r="K17" s="194">
        <f>IFERROR('4. Parameters'!J32*'4. Parameters'!J33*(('4. Parameters'!J37+'4. Parameters'!J38+'4. Parameters'!J39)*hotel_cost_central_ToT),0)</f>
        <v>0</v>
      </c>
      <c r="L17" s="194">
        <f>IFERROR('4. Parameters'!K32*'4. Parameters'!K33*(('4. Parameters'!K37+'4. Parameters'!K38+'4. Parameters'!K39)*hotel_cost_central_ToT),0)</f>
        <v>0</v>
      </c>
      <c r="M17" s="194">
        <f>IFERROR('4. Parameters'!L32*'4. Parameters'!L33*(('4. Parameters'!L37+'4. Parameters'!L38+'4. Parameters'!L39)*hotel_cost_central_ToT),0)</f>
        <v>0</v>
      </c>
    </row>
    <row r="18" spans="1:13" s="24" customFormat="1" ht="16">
      <c r="B18" s="24" t="s">
        <v>90</v>
      </c>
      <c r="D18" s="194">
        <f>IFERROR(nr_sessions_py_tot_c*nr_days_per_session_tot_c*(nr_participants_tot_c+nr_faciliators_tot_c+nr_int_faciliators_tot_c)*(snacks_central_ToT),0)</f>
        <v>0</v>
      </c>
      <c r="E18" s="194">
        <f>IFERROR('4. Parameters'!D32*'4. Parameters'!D33*('4. Parameters'!D34+'4. Parameters'!D36+'4. Parameters'!D38)*snacks_central_ToT,0)</f>
        <v>0</v>
      </c>
      <c r="F18" s="194">
        <f>IFERROR('4. Parameters'!E32*'4. Parameters'!E33*('4. Parameters'!E34+'4. Parameters'!E36+'4. Parameters'!E38)*snacks_central_ToT,0)</f>
        <v>0</v>
      </c>
      <c r="G18" s="194">
        <f>IFERROR('4. Parameters'!F32*'4. Parameters'!F33*('4. Parameters'!F34+'4. Parameters'!F36+'4. Parameters'!F38)*snacks_central_ToT,0)</f>
        <v>0</v>
      </c>
      <c r="H18" s="194">
        <f>IFERROR('4. Parameters'!G32*'4. Parameters'!G33*('4. Parameters'!G34+'4. Parameters'!G36+'4. Parameters'!G38)*snacks_central_ToT,0)</f>
        <v>0</v>
      </c>
      <c r="I18" s="194">
        <f>IFERROR('4. Parameters'!H32*'4. Parameters'!H33*('4. Parameters'!H34+'4. Parameters'!H36+'4. Parameters'!H38)*snacks_central_ToT,0)</f>
        <v>0</v>
      </c>
      <c r="J18" s="194">
        <f>IFERROR('4. Parameters'!I32*'4. Parameters'!I33*('4. Parameters'!I34+'4. Parameters'!I36+'4. Parameters'!I38)*snacks_central_ToT,0)</f>
        <v>0</v>
      </c>
      <c r="K18" s="194">
        <f>IFERROR('4. Parameters'!J32*'4. Parameters'!J33*('4. Parameters'!J34+'4. Parameters'!J36+'4. Parameters'!J38)*snacks_central_ToT,0)</f>
        <v>0</v>
      </c>
      <c r="L18" s="194">
        <f>IFERROR('4. Parameters'!K32*'4. Parameters'!K33*('4. Parameters'!K34+'4. Parameters'!K36+'4. Parameters'!K38)*snacks_central_ToT,0)</f>
        <v>0</v>
      </c>
      <c r="M18" s="194">
        <f>IFERROR('4. Parameters'!L32*'4. Parameters'!L33*('4. Parameters'!L34+'4. Parameters'!L36+'4. Parameters'!L38)*snacks_central_ToT,0)</f>
        <v>0</v>
      </c>
    </row>
    <row r="19" spans="1:13" s="24" customFormat="1" ht="16">
      <c r="B19" s="24" t="s">
        <v>91</v>
      </c>
      <c r="D19" s="194">
        <f>IFERROR(nr_sessions_py_tot_c*nr_days_per_session_tot_c*(room_rental_central_ToT),0)</f>
        <v>0</v>
      </c>
      <c r="E19" s="194">
        <f>IFERROR('4. Parameters'!D32*'4. Parameters'!D33*(room_rental_central_ToT),0)</f>
        <v>0</v>
      </c>
      <c r="F19" s="194">
        <f>IFERROR('4. Parameters'!E32*'4. Parameters'!E33*(room_rental_central_ToT),0)</f>
        <v>0</v>
      </c>
      <c r="G19" s="194">
        <f>IFERROR('4. Parameters'!F32*'4. Parameters'!F33*(room_rental_central_ToT),0)</f>
        <v>0</v>
      </c>
      <c r="H19" s="194">
        <f>IFERROR('4. Parameters'!G32*'4. Parameters'!G33*(room_rental_central_ToT),0)</f>
        <v>0</v>
      </c>
      <c r="I19" s="194">
        <f>IFERROR('4. Parameters'!H32*'4. Parameters'!H33*(room_rental_central_ToT),0)</f>
        <v>0</v>
      </c>
      <c r="J19" s="194">
        <f>IFERROR('4. Parameters'!I32*'4. Parameters'!I33*(room_rental_central_ToT),0)</f>
        <v>0</v>
      </c>
      <c r="K19" s="194">
        <f>IFERROR('4. Parameters'!J32*'4. Parameters'!J33*(room_rental_central_ToT),0)</f>
        <v>0</v>
      </c>
      <c r="L19" s="194">
        <f>IFERROR('4. Parameters'!K32*'4. Parameters'!K33*(room_rental_central_ToT),0)</f>
        <v>0</v>
      </c>
      <c r="M19" s="194">
        <f>IFERROR('4. Parameters'!L32*'4. Parameters'!L33*(room_rental_central_ToT),0)</f>
        <v>0</v>
      </c>
    </row>
    <row r="20" spans="1:13" s="24" customFormat="1" ht="16">
      <c r="B20" s="24" t="s">
        <v>68</v>
      </c>
      <c r="D20" s="194">
        <f>IFERROR(nr_sessions_py_tot_c*stationary_central_ToT,0)</f>
        <v>0</v>
      </c>
      <c r="E20" s="194">
        <f>IFERROR('4. Parameters'!D32*stationary_central_ToT,0)</f>
        <v>0</v>
      </c>
      <c r="F20" s="194">
        <f>IFERROR('4. Parameters'!E32*stationary_central_ToT,0)</f>
        <v>0</v>
      </c>
      <c r="G20" s="194">
        <f>IFERROR('4. Parameters'!F32*stationary_central_ToT,0)</f>
        <v>0</v>
      </c>
      <c r="H20" s="194">
        <f>IFERROR('4. Parameters'!G32*stationary_central_ToT,0)</f>
        <v>0</v>
      </c>
      <c r="I20" s="194">
        <f>IFERROR('4. Parameters'!H32*stationary_central_ToT,0)</f>
        <v>0</v>
      </c>
      <c r="J20" s="194">
        <f>IFERROR('4. Parameters'!I32*stationary_central_ToT,0)</f>
        <v>0</v>
      </c>
      <c r="K20" s="194">
        <f>IFERROR('4. Parameters'!J32*stationary_central_ToT,0)</f>
        <v>0</v>
      </c>
      <c r="L20" s="194">
        <f>IFERROR('4. Parameters'!K32*stationary_central_ToT,0)</f>
        <v>0</v>
      </c>
      <c r="M20" s="194">
        <f>IFERROR('4. Parameters'!L32*stationary_central_ToT,0)</f>
        <v>0</v>
      </c>
    </row>
    <row r="21" spans="1:13" s="24" customFormat="1" ht="16">
      <c r="B21" s="24" t="s">
        <v>92</v>
      </c>
      <c r="D21" s="194">
        <f>IFERROR(nr_sessions_py_tot_c*training_material_central_ToT,0)</f>
        <v>0</v>
      </c>
      <c r="E21" s="194">
        <f>IFERROR('4. Parameters'!D32*training_material_central_ToT,0)</f>
        <v>0</v>
      </c>
      <c r="F21" s="194">
        <f>IFERROR('4. Parameters'!E32*training_material_central_ToT,0)</f>
        <v>0</v>
      </c>
      <c r="G21" s="194">
        <f>IFERROR('4. Parameters'!F32*training_material_central_ToT,0)</f>
        <v>0</v>
      </c>
      <c r="H21" s="194">
        <f>IFERROR('4. Parameters'!G32*training_material_central_ToT,0)</f>
        <v>0</v>
      </c>
      <c r="I21" s="194">
        <f>IFERROR('4. Parameters'!H32*training_material_central_ToT,0)</f>
        <v>0</v>
      </c>
      <c r="J21" s="194">
        <f>IFERROR('4. Parameters'!I32*training_material_central_ToT,0)</f>
        <v>0</v>
      </c>
      <c r="K21" s="194">
        <f>IFERROR('4. Parameters'!J32*training_material_central_ToT,0)</f>
        <v>0</v>
      </c>
      <c r="L21" s="194">
        <f>IFERROR('4. Parameters'!K32*training_material_central_ToT,0)</f>
        <v>0</v>
      </c>
      <c r="M21" s="194">
        <f>IFERROR('4. Parameters'!L32*training_material_central_ToT,0)</f>
        <v>0</v>
      </c>
    </row>
    <row r="22" spans="1:13" s="24" customFormat="1" ht="16">
      <c r="B22" s="24" t="s">
        <v>117</v>
      </c>
      <c r="D22" s="194">
        <f>IFERROR(nr_sessions_py_tot_c*workshop_package_central_ToT,0)</f>
        <v>0</v>
      </c>
      <c r="E22" s="194">
        <f>IFERROR('4. Parameters'!D32*workshop_package_central_ToT,0)</f>
        <v>0</v>
      </c>
      <c r="F22" s="194">
        <f>IFERROR('4. Parameters'!E32*workshop_package_central_ToT,0)</f>
        <v>0</v>
      </c>
      <c r="G22" s="194">
        <f>IFERROR('4. Parameters'!F32*workshop_package_central_ToT,0)</f>
        <v>0</v>
      </c>
      <c r="H22" s="194">
        <f>IFERROR('4. Parameters'!G32*workshop_package_central_ToT,0)</f>
        <v>0</v>
      </c>
      <c r="I22" s="194">
        <f>IFERROR('4. Parameters'!H32*workshop_package_central_ToT,0)</f>
        <v>0</v>
      </c>
      <c r="J22" s="194">
        <f>IFERROR('4. Parameters'!I32*workshop_package_central_ToT,0)</f>
        <v>0</v>
      </c>
      <c r="K22" s="194">
        <f>IFERROR('4. Parameters'!J32*workshop_package_central_ToT,0)</f>
        <v>0</v>
      </c>
      <c r="L22" s="194">
        <f>IFERROR('4. Parameters'!K32*workshop_package_central_ToT,0)</f>
        <v>0</v>
      </c>
      <c r="M22" s="194">
        <f>IFERROR('4. Parameters'!L32*workshop_package_central_ToT,0)</f>
        <v>0</v>
      </c>
    </row>
    <row r="23" spans="1:13" s="24" customFormat="1" ht="16">
      <c r="B23" s="29" t="s">
        <v>34</v>
      </c>
      <c r="D23" s="199">
        <f t="shared" ref="D23:M23" si="1">SUM(D11:D22)</f>
        <v>0</v>
      </c>
      <c r="E23" s="199">
        <f t="shared" si="1"/>
        <v>0</v>
      </c>
      <c r="F23" s="199">
        <f t="shared" si="1"/>
        <v>0</v>
      </c>
      <c r="G23" s="199">
        <f t="shared" si="1"/>
        <v>0</v>
      </c>
      <c r="H23" s="199">
        <f t="shared" si="1"/>
        <v>0</v>
      </c>
      <c r="I23" s="199">
        <f t="shared" si="1"/>
        <v>0</v>
      </c>
      <c r="J23" s="199">
        <f t="shared" si="1"/>
        <v>0</v>
      </c>
      <c r="K23" s="199">
        <f t="shared" si="1"/>
        <v>0</v>
      </c>
      <c r="L23" s="199">
        <f t="shared" si="1"/>
        <v>0</v>
      </c>
      <c r="M23" s="199">
        <f t="shared" si="1"/>
        <v>0</v>
      </c>
    </row>
    <row r="24" spans="1:13" s="24" customFormat="1" ht="16">
      <c r="B24" s="27"/>
      <c r="D24" s="100"/>
      <c r="E24" s="100"/>
      <c r="F24" s="100"/>
      <c r="G24" s="100"/>
      <c r="H24" s="100"/>
      <c r="I24" s="100"/>
      <c r="J24" s="100"/>
      <c r="K24" s="100"/>
      <c r="L24" s="100"/>
      <c r="M24" s="100"/>
    </row>
    <row r="25" spans="1:13" s="24" customFormat="1" ht="16">
      <c r="D25" s="101"/>
      <c r="E25" s="102"/>
      <c r="F25" s="102"/>
      <c r="G25" s="102"/>
      <c r="H25" s="102"/>
      <c r="I25" s="102"/>
      <c r="J25" s="102"/>
      <c r="K25" s="102"/>
      <c r="L25" s="102"/>
      <c r="M25" s="102"/>
    </row>
    <row r="26" spans="1:13" s="27" customFormat="1" ht="16">
      <c r="A26" s="25" t="s">
        <v>156</v>
      </c>
      <c r="D26" s="103"/>
      <c r="E26" s="103"/>
      <c r="F26" s="103"/>
      <c r="G26" s="103"/>
      <c r="H26" s="103"/>
      <c r="I26" s="103"/>
      <c r="J26" s="103"/>
      <c r="K26" s="103"/>
      <c r="L26" s="103"/>
      <c r="M26" s="103"/>
    </row>
    <row r="27" spans="1:13" s="24" customFormat="1" ht="16">
      <c r="B27" s="24" t="s">
        <v>93</v>
      </c>
      <c r="D27" s="195">
        <f>IFERROR(nr_sessions_tot_c_refresher*nr_days_per_session_tot_c_refresher*((nr_participants_per_diem_tot_c_refresher*per_diem_participants_central_ToT)),0)</f>
        <v>0</v>
      </c>
      <c r="E27" s="195">
        <f>IFERROR('4. Parameters'!D43*'4. Parameters'!D44*(('4. Parameters'!D46*per_diem_participants_central_ToT)),0)</f>
        <v>0</v>
      </c>
      <c r="F27" s="195">
        <f>IFERROR('4. Parameters'!E43*'4. Parameters'!E44*(('4. Parameters'!E46*per_diem_participants_central_ToT)),0)</f>
        <v>0</v>
      </c>
      <c r="G27" s="195">
        <f>IFERROR('4. Parameters'!F43*'4. Parameters'!F44*(('4. Parameters'!F46*per_diem_participants_central_ToT)),0)</f>
        <v>0</v>
      </c>
      <c r="H27" s="195">
        <f>IFERROR('4. Parameters'!G43*'4. Parameters'!G44*(('4. Parameters'!G46*per_diem_participants_central_ToT)),0)</f>
        <v>0</v>
      </c>
      <c r="I27" s="195">
        <f>IFERROR('4. Parameters'!H43*'4. Parameters'!H44*(('4. Parameters'!H46*per_diem_participants_central_ToT)),0)</f>
        <v>0</v>
      </c>
      <c r="J27" s="195">
        <f>IFERROR('4. Parameters'!I43*'4. Parameters'!I44*(('4. Parameters'!I46*per_diem_participants_central_ToT)),0)</f>
        <v>0</v>
      </c>
      <c r="K27" s="195">
        <f>IFERROR('4. Parameters'!J43*'4. Parameters'!J44*(('4. Parameters'!J46*per_diem_participants_central_ToT)),0)</f>
        <v>0</v>
      </c>
      <c r="L27" s="195">
        <f>IFERROR('4. Parameters'!K43*'4. Parameters'!K44*(('4. Parameters'!K46*per_diem_participants_central_ToT)),0)</f>
        <v>0</v>
      </c>
      <c r="M27" s="195">
        <f>IFERROR('4. Parameters'!L43*'4. Parameters'!L44*(('4. Parameters'!L46*per_diem_participants_central_ToT)),0)</f>
        <v>0</v>
      </c>
    </row>
    <row r="28" spans="1:13" s="24" customFormat="1" ht="16">
      <c r="B28" s="24" t="s">
        <v>214</v>
      </c>
      <c r="D28" s="194">
        <f>IFERROR(nr_sessions_tot_c_refresher*nr_days_per_session_tot_c_refresher*(nr_faciliators_tot_c_refresher*(facilitation_fee_central_ToT+per_diem_facilitators_central_ToT)),0)</f>
        <v>0</v>
      </c>
      <c r="E28" s="196">
        <f>IFERROR('4. Parameters'!D43*'4. Parameters'!D44*('4. Parameters'!D47*(facilitation_fee_central_ToT +per_diem_facilitators_central_ToT)),0)</f>
        <v>0</v>
      </c>
      <c r="F28" s="196">
        <f>IFERROR('4. Parameters'!E43*'4. Parameters'!E44*('4. Parameters'!E47*(facilitation_fee_central_ToT +per_diem_facilitators_central_ToT)),0)</f>
        <v>0</v>
      </c>
      <c r="G28" s="196">
        <f>IFERROR('4. Parameters'!F43*'4. Parameters'!F44*('4. Parameters'!F47*(facilitation_fee_central_ToT +per_diem_facilitators_central_ToT)),0)</f>
        <v>0</v>
      </c>
      <c r="H28" s="196">
        <f>IFERROR('4. Parameters'!G43*'4. Parameters'!G44*('4. Parameters'!G47*(facilitation_fee_central_ToT +per_diem_facilitators_central_ToT)),0)</f>
        <v>0</v>
      </c>
      <c r="I28" s="196">
        <f>IFERROR('4. Parameters'!H43*'4. Parameters'!H44*('4. Parameters'!H47*(facilitation_fee_central_ToT +per_diem_facilitators_central_ToT)),0)</f>
        <v>0</v>
      </c>
      <c r="J28" s="196">
        <f>IFERROR('4. Parameters'!I43*'4. Parameters'!I44*('4. Parameters'!I47*(facilitation_fee_central_ToT +per_diem_facilitators_central_ToT)),0)</f>
        <v>0</v>
      </c>
      <c r="K28" s="196">
        <f>IFERROR('4. Parameters'!J43*'4. Parameters'!J44*('4. Parameters'!J47*(facilitation_fee_central_ToT +per_diem_facilitators_central_ToT)),0)</f>
        <v>0</v>
      </c>
      <c r="L28" s="196">
        <f>IFERROR('4. Parameters'!K43*'4. Parameters'!K44*('4. Parameters'!K47*(facilitation_fee_central_ToT +per_diem_facilitators_central_ToT)),0)</f>
        <v>0</v>
      </c>
      <c r="M28" s="196">
        <f>IFERROR('4. Parameters'!L43*'4. Parameters'!L44*('4. Parameters'!L47*(facilitation_fee_central_ToT +per_diem_facilitators_central_ToT)),0)</f>
        <v>0</v>
      </c>
    </row>
    <row r="29" spans="1:13" s="24" customFormat="1" ht="16">
      <c r="B29" s="24" t="s">
        <v>215</v>
      </c>
      <c r="D29" s="194">
        <f>IFERROR(nr_sessions_tot_c_refresher*nr_days_per_session_tot_c_refresher*(nr_faciliators_tot_r*per_diem_int_facilitator_central_ToT),0)</f>
        <v>0</v>
      </c>
      <c r="E29" s="196">
        <f>IFERROR('4. Parameters'!D43*'4. Parameters'!D44*('4. Parameters'!D47*per_diem_int_facilitator_central_ToT),0)</f>
        <v>0</v>
      </c>
      <c r="F29" s="196">
        <f>IFERROR('4. Parameters'!E43*'4. Parameters'!E44*('4. Parameters'!E47*per_diem_int_facilitator_central_ToT),0)</f>
        <v>0</v>
      </c>
      <c r="G29" s="196">
        <f>IFERROR('4. Parameters'!F43*'4. Parameters'!F44*('4. Parameters'!F47*per_diem_int_facilitator_central_ToT),0)</f>
        <v>0</v>
      </c>
      <c r="H29" s="196">
        <f>IFERROR('4. Parameters'!G43*'4. Parameters'!G44*('4. Parameters'!G47*per_diem_int_facilitator_central_ToT),0)</f>
        <v>0</v>
      </c>
      <c r="I29" s="196">
        <f>IFERROR('4. Parameters'!H43*'4. Parameters'!H44*('4. Parameters'!H47*per_diem_int_facilitator_central_ToT),0)</f>
        <v>0</v>
      </c>
      <c r="J29" s="196">
        <f>IFERROR('4. Parameters'!I43*'4. Parameters'!I44*('4. Parameters'!I47*per_diem_int_facilitator_central_ToT),0)</f>
        <v>0</v>
      </c>
      <c r="K29" s="196">
        <f>IFERROR('4. Parameters'!J43*'4. Parameters'!J44*('4. Parameters'!J47*per_diem_int_facilitator_central_ToT),0)</f>
        <v>0</v>
      </c>
      <c r="L29" s="196">
        <f>IFERROR('4. Parameters'!K43*'4. Parameters'!K44*('4. Parameters'!K47*per_diem_int_facilitator_central_ToT),0)</f>
        <v>0</v>
      </c>
      <c r="M29" s="196">
        <f>IFERROR('4. Parameters'!L43*'4. Parameters'!L44*('4. Parameters'!L47*per_diem_int_facilitator_central_ToT),0)</f>
        <v>0</v>
      </c>
    </row>
    <row r="30" spans="1:13" s="24" customFormat="1" ht="16">
      <c r="B30" s="24" t="s">
        <v>94</v>
      </c>
      <c r="D30" s="194">
        <f>IFERROR(nr_sessions_tot_c_refresher*nr_days_per_session_tot_c_refresher*((nr_participants_tot_c_refresher*transport_participant_central_ToT)),0)</f>
        <v>0</v>
      </c>
      <c r="E30" s="196">
        <f>IFERROR('4. Parameters'!D43*'4. Parameters'!D44*(('4. Parameters'!D45*transport_participant_central_ToT)),0)</f>
        <v>0</v>
      </c>
      <c r="F30" s="196">
        <f>IFERROR('4. Parameters'!E43*'4. Parameters'!E44*(('4. Parameters'!E45*transport_participant_central_ToT)),0)</f>
        <v>0</v>
      </c>
      <c r="G30" s="196">
        <f>IFERROR('4. Parameters'!F43*'4. Parameters'!F44*(('4. Parameters'!F45*transport_participant_central_ToT)),0)</f>
        <v>0</v>
      </c>
      <c r="H30" s="196">
        <f>IFERROR('4. Parameters'!G43*'4. Parameters'!G44*(('4. Parameters'!G45*transport_participant_central_ToT)),0)</f>
        <v>0</v>
      </c>
      <c r="I30" s="196">
        <f>IFERROR('4. Parameters'!H43*'4. Parameters'!H44*(('4. Parameters'!H45*transport_participant_central_ToT)),0)</f>
        <v>0</v>
      </c>
      <c r="J30" s="196">
        <f>IFERROR('4. Parameters'!I43*'4. Parameters'!I44*(('4. Parameters'!I45*transport_participant_central_ToT)),0)</f>
        <v>0</v>
      </c>
      <c r="K30" s="196">
        <f>IFERROR('4. Parameters'!J43*'4. Parameters'!J44*(('4. Parameters'!J45*transport_participant_central_ToT)),0)</f>
        <v>0</v>
      </c>
      <c r="L30" s="196">
        <f>IFERROR('4. Parameters'!K43*'4. Parameters'!K44*(('4. Parameters'!K45*transport_participant_central_ToT)),0)</f>
        <v>0</v>
      </c>
      <c r="M30" s="196">
        <f>IFERROR('4. Parameters'!L43*'4. Parameters'!L44*(('4. Parameters'!L45*transport_participant_central_ToT)),0)</f>
        <v>0</v>
      </c>
    </row>
    <row r="31" spans="1:13" s="24" customFormat="1" ht="16">
      <c r="B31" s="24" t="s">
        <v>95</v>
      </c>
      <c r="D31" s="194">
        <f>IFERROR(nr_sessions_tot_c_refresher*nr_days_per_session_tot_c_refresher*((nr_faciliators_tot_c_refresher*transport_facilitator_central_ToT)),0)</f>
        <v>0</v>
      </c>
      <c r="E31" s="196">
        <f>IFERROR('4. Parameters'!D43*'4. Parameters'!D44*(('4. Parameters'!D47*transport_facilitator_central_ToT)),0)</f>
        <v>0</v>
      </c>
      <c r="F31" s="196">
        <f>IFERROR('4. Parameters'!E43*'4. Parameters'!E44*(('4. Parameters'!E47*transport_facilitator_central_ToT)),0)</f>
        <v>0</v>
      </c>
      <c r="G31" s="196">
        <f>IFERROR('4. Parameters'!F43*'4. Parameters'!F44*(('4. Parameters'!F47*transport_facilitator_central_ToT)),0)</f>
        <v>0</v>
      </c>
      <c r="H31" s="196">
        <f>IFERROR('4. Parameters'!G43*'4. Parameters'!G44*(('4. Parameters'!G47*transport_facilitator_central_ToT)),0)</f>
        <v>0</v>
      </c>
      <c r="I31" s="196">
        <f>IFERROR('4. Parameters'!H43*'4. Parameters'!H44*(('4. Parameters'!H47*transport_facilitator_central_ToT)),0)</f>
        <v>0</v>
      </c>
      <c r="J31" s="196">
        <f>IFERROR('4. Parameters'!I43*'4. Parameters'!I44*(('4. Parameters'!I47*transport_facilitator_central_ToT)),0)</f>
        <v>0</v>
      </c>
      <c r="K31" s="196">
        <f>IFERROR('4. Parameters'!J43*'4. Parameters'!J44*(('4. Parameters'!J47*transport_facilitator_central_ToT)),0)</f>
        <v>0</v>
      </c>
      <c r="L31" s="196">
        <f>IFERROR('4. Parameters'!K43*'4. Parameters'!K44*(('4. Parameters'!K47*transport_facilitator_central_ToT)),0)</f>
        <v>0</v>
      </c>
      <c r="M31" s="196">
        <f>IFERROR('4. Parameters'!L43*'4. Parameters'!L44*(('4. Parameters'!L47*transport_facilitator_central_ToT)),0)</f>
        <v>0</v>
      </c>
    </row>
    <row r="32" spans="1:13" s="24" customFormat="1" ht="16">
      <c r="B32" s="24" t="s">
        <v>216</v>
      </c>
      <c r="D32" s="194">
        <f>IFERROR(nr_sessions_tot_c_refresher*(nr_int_faciliators_tot_c_refresher*international_travel_central_ToT),0)</f>
        <v>0</v>
      </c>
      <c r="E32" s="196">
        <f>IFERROR('4. Parameters'!D43*('4. Parameters'!D48*international_travel_central_ToT),0)</f>
        <v>0</v>
      </c>
      <c r="F32" s="196">
        <f>IFERROR('4. Parameters'!E43*('4. Parameters'!E48*international_travel_central_ToT),0)</f>
        <v>0</v>
      </c>
      <c r="G32" s="196">
        <f>IFERROR('4. Parameters'!F43*('4. Parameters'!F48*international_travel_central_ToT),0)</f>
        <v>0</v>
      </c>
      <c r="H32" s="196">
        <f>IFERROR('4. Parameters'!G43*('4. Parameters'!G48*international_travel_central_ToT),0)</f>
        <v>0</v>
      </c>
      <c r="I32" s="196">
        <f>IFERROR('4. Parameters'!H43*('4. Parameters'!H48*international_travel_central_ToT),0)</f>
        <v>0</v>
      </c>
      <c r="J32" s="196">
        <f>IFERROR('4. Parameters'!I43*('4. Parameters'!I48*international_travel_central_ToT),0)</f>
        <v>0</v>
      </c>
      <c r="K32" s="196">
        <f>IFERROR('4. Parameters'!J43*('4. Parameters'!J48*international_travel_central_ToT),0)</f>
        <v>0</v>
      </c>
      <c r="L32" s="196">
        <f>IFERROR('4. Parameters'!K43*('4. Parameters'!K48*international_travel_central_ToT),0)</f>
        <v>0</v>
      </c>
      <c r="M32" s="196">
        <f>IFERROR('4. Parameters'!L43*('4. Parameters'!L48*international_travel_central_ToT),0)</f>
        <v>0</v>
      </c>
    </row>
    <row r="33" spans="1:13" s="24" customFormat="1" ht="16">
      <c r="B33" s="24" t="s">
        <v>89</v>
      </c>
      <c r="D33" s="194">
        <f>IFERROR(nr_sessions_tot_c_refresher*nr_days_per_session_tot_c_refresher*((nr_participants_hotel_tot_c_refresher+nr_faciliators_hotel_tot_c_refresher)*hotel_cost_central_ToT),0)</f>
        <v>0</v>
      </c>
      <c r="E33" s="196">
        <f>IFERROR('4. Parameters'!D43*'4. Parameters'!D44*(('4. Parameters'!D49+'4. Parameters'!D50)*hotel_cost_central_ToT),0)</f>
        <v>0</v>
      </c>
      <c r="F33" s="196">
        <f>IFERROR('4. Parameters'!E43*'4. Parameters'!E44*(('4. Parameters'!E49+'4. Parameters'!E50)*hotel_cost_central_ToT),0)</f>
        <v>0</v>
      </c>
      <c r="G33" s="196">
        <f>IFERROR('4. Parameters'!F43*'4. Parameters'!F44*(('4. Parameters'!F49+'4. Parameters'!F50)*hotel_cost_central_ToT),0)</f>
        <v>0</v>
      </c>
      <c r="H33" s="196">
        <f>IFERROR('4. Parameters'!G43*'4. Parameters'!G44*(('4. Parameters'!G49+'4. Parameters'!G50)*hotel_cost_central_ToT),0)</f>
        <v>0</v>
      </c>
      <c r="I33" s="196">
        <f>IFERROR('4. Parameters'!H43*'4. Parameters'!H44*(('4. Parameters'!H49+'4. Parameters'!H50)*hotel_cost_central_ToT),0)</f>
        <v>0</v>
      </c>
      <c r="J33" s="196">
        <f>IFERROR('4. Parameters'!I43*'4. Parameters'!I44*(('4. Parameters'!I49+'4. Parameters'!I50)*hotel_cost_central_ToT),0)</f>
        <v>0</v>
      </c>
      <c r="K33" s="196">
        <f>IFERROR('4. Parameters'!J43*'4. Parameters'!J44*(('4. Parameters'!J49+'4. Parameters'!J50)*hotel_cost_central_ToT),0)</f>
        <v>0</v>
      </c>
      <c r="L33" s="196">
        <f>IFERROR('4. Parameters'!K43*'4. Parameters'!K44*(('4. Parameters'!K49+'4. Parameters'!K50)*hotel_cost_central_ToT),0)</f>
        <v>0</v>
      </c>
      <c r="M33" s="196">
        <f>IFERROR('4. Parameters'!L43*'4. Parameters'!L44*(('4. Parameters'!L49+'4. Parameters'!L50)*hotel_cost_central_ToT),0)</f>
        <v>0</v>
      </c>
    </row>
    <row r="34" spans="1:13" s="24" customFormat="1" ht="16">
      <c r="B34" s="24" t="s">
        <v>90</v>
      </c>
      <c r="D34" s="194">
        <f>IFERROR(nr_sessions_tot_c_refresher*nr_days_per_session_tot_c_refresher*(snacks_central_ToT*(nr_participants_tot_c_refresher+nr_faciliators_tot_c_refresher+nr_int_faciliators_tot_c_refresher)),0)</f>
        <v>0</v>
      </c>
      <c r="E34" s="196">
        <f>IFERROR('4. Parameters'!D43*'4. Parameters'!D44*(snacks_central_ToT*('4. Parameters'!D45+'4. Parameters'!D47+'4. Parameters'!D48)),0)</f>
        <v>0</v>
      </c>
      <c r="F34" s="196">
        <f>IFERROR('4. Parameters'!E43*'4. Parameters'!E44*(snacks_central_ToT*('4. Parameters'!E45+'4. Parameters'!E47+'4. Parameters'!E48)),0)</f>
        <v>0</v>
      </c>
      <c r="G34" s="196">
        <f>IFERROR('4. Parameters'!F43*'4. Parameters'!F44*(snacks_central_ToT*('4. Parameters'!F45+'4. Parameters'!F47+'4. Parameters'!F48)),0)</f>
        <v>0</v>
      </c>
      <c r="H34" s="196">
        <f>IFERROR('4. Parameters'!G43*'4. Parameters'!G44*(snacks_central_ToT*('4. Parameters'!G45+'4. Parameters'!G47+'4. Parameters'!G48)),0)</f>
        <v>0</v>
      </c>
      <c r="I34" s="196">
        <f>IFERROR('4. Parameters'!H43*'4. Parameters'!H44*(snacks_central_ToT*('4. Parameters'!H45+'4. Parameters'!H47+'4. Parameters'!H48)),0)</f>
        <v>0</v>
      </c>
      <c r="J34" s="196">
        <f>IFERROR('4. Parameters'!I43*'4. Parameters'!I44*(snacks_central_ToT*('4. Parameters'!I45+'4. Parameters'!I47+'4. Parameters'!I48)),0)</f>
        <v>0</v>
      </c>
      <c r="K34" s="196">
        <f>IFERROR('4. Parameters'!J43*'4. Parameters'!J44*(snacks_central_ToT*('4. Parameters'!J45+'4. Parameters'!J47+'4. Parameters'!J48)),0)</f>
        <v>0</v>
      </c>
      <c r="L34" s="196">
        <f>IFERROR('4. Parameters'!K43*'4. Parameters'!K44*(snacks_central_ToT*('4. Parameters'!K45+'4. Parameters'!K47+'4. Parameters'!K48)),0)</f>
        <v>0</v>
      </c>
      <c r="M34" s="196">
        <f>IFERROR('4. Parameters'!L43*'4. Parameters'!L44*(snacks_central_ToT*('4. Parameters'!L45+'4. Parameters'!L47+'4. Parameters'!L48)),0)</f>
        <v>0</v>
      </c>
    </row>
    <row r="35" spans="1:13" s="24" customFormat="1" ht="16">
      <c r="B35" s="24" t="s">
        <v>91</v>
      </c>
      <c r="D35" s="194">
        <f>IFERROR(nr_sessions_tot_c_refresher*nr_days_per_session_tot_c_refresher*(room_rental_central_ToT),0)</f>
        <v>0</v>
      </c>
      <c r="E35" s="196">
        <f>IFERROR('4. Parameters'!D43*'4. Parameters'!D44*(room_rental_central_ToT),0)</f>
        <v>0</v>
      </c>
      <c r="F35" s="196">
        <f>IFERROR('4. Parameters'!E43*'4. Parameters'!E44*(room_rental_central_ToT),0)</f>
        <v>0</v>
      </c>
      <c r="G35" s="196">
        <f>IFERROR('4. Parameters'!F43*'4. Parameters'!F44*(room_rental_central_ToT),0)</f>
        <v>0</v>
      </c>
      <c r="H35" s="196">
        <f>IFERROR('4. Parameters'!G43*'4. Parameters'!G44*(room_rental_central_ToT),0)</f>
        <v>0</v>
      </c>
      <c r="I35" s="196">
        <f>IFERROR('4. Parameters'!H43*'4. Parameters'!H44*(room_rental_central_ToT),0)</f>
        <v>0</v>
      </c>
      <c r="J35" s="196">
        <f>IFERROR('4. Parameters'!I43*'4. Parameters'!I44*(room_rental_central_ToT),0)</f>
        <v>0</v>
      </c>
      <c r="K35" s="196">
        <f>IFERROR('4. Parameters'!J43*'4. Parameters'!J44*(room_rental_central_ToT),0)</f>
        <v>0</v>
      </c>
      <c r="L35" s="196">
        <f>IFERROR('4. Parameters'!K43*'4. Parameters'!K44*(room_rental_central_ToT),0)</f>
        <v>0</v>
      </c>
      <c r="M35" s="196">
        <f>IFERROR('4. Parameters'!L43*'4. Parameters'!L44*(room_rental_central_ToT),0)</f>
        <v>0</v>
      </c>
    </row>
    <row r="36" spans="1:13" s="24" customFormat="1" ht="16">
      <c r="B36" s="24" t="s">
        <v>68</v>
      </c>
      <c r="D36" s="194">
        <f>IFERROR(nr_sessions_tot_c_refresher*stationary_central_ToT,0)</f>
        <v>0</v>
      </c>
      <c r="E36" s="196">
        <f>IFERROR('4. Parameters'!D43*stationary_central_ToT,0)</f>
        <v>0</v>
      </c>
      <c r="F36" s="196">
        <f>IFERROR('4. Parameters'!E43*stationary_central_ToT,0)</f>
        <v>0</v>
      </c>
      <c r="G36" s="196">
        <f>IFERROR('4. Parameters'!F43*stationary_central_ToT,0)</f>
        <v>0</v>
      </c>
      <c r="H36" s="196">
        <f>IFERROR('4. Parameters'!G43*stationary_central_ToT,0)</f>
        <v>0</v>
      </c>
      <c r="I36" s="196">
        <f>IFERROR('4. Parameters'!H43*stationary_central_ToT,0)</f>
        <v>0</v>
      </c>
      <c r="J36" s="196">
        <f>IFERROR('4. Parameters'!I43*stationary_central_ToT,0)</f>
        <v>0</v>
      </c>
      <c r="K36" s="196">
        <f>IFERROR('4. Parameters'!J43*stationary_central_ToT,0)</f>
        <v>0</v>
      </c>
      <c r="L36" s="196">
        <f>IFERROR('4. Parameters'!K43*stationary_central_ToT,0)</f>
        <v>0</v>
      </c>
      <c r="M36" s="196">
        <f>IFERROR('4. Parameters'!L43*stationary_central_ToT,0)</f>
        <v>0</v>
      </c>
    </row>
    <row r="37" spans="1:13" s="24" customFormat="1" ht="16">
      <c r="B37" s="24" t="s">
        <v>92</v>
      </c>
      <c r="D37" s="194">
        <f>IFERROR(nr_sessions_tot_c_refresher*training_material_central_ToT,0)</f>
        <v>0</v>
      </c>
      <c r="E37" s="197">
        <f>IFERROR('4. Parameters'!D43*training_material_central_ToT,0)</f>
        <v>0</v>
      </c>
      <c r="F37" s="197">
        <f>IFERROR('4. Parameters'!E43*training_material_central_ToT,0)</f>
        <v>0</v>
      </c>
      <c r="G37" s="197">
        <f>IFERROR('4. Parameters'!F43*training_material_central_ToT,0)</f>
        <v>0</v>
      </c>
      <c r="H37" s="197">
        <f>IFERROR('4. Parameters'!G43*training_material_central_ToT,0)</f>
        <v>0</v>
      </c>
      <c r="I37" s="197">
        <f>IFERROR('4. Parameters'!H43*training_material_central_ToT,0)</f>
        <v>0</v>
      </c>
      <c r="J37" s="197">
        <f>IFERROR('4. Parameters'!I43*training_material_central_ToT,0)</f>
        <v>0</v>
      </c>
      <c r="K37" s="197">
        <f>IFERROR('4. Parameters'!J43*training_material_central_ToT,0)</f>
        <v>0</v>
      </c>
      <c r="L37" s="197">
        <f>IFERROR('4. Parameters'!K43*training_material_central_ToT,0)</f>
        <v>0</v>
      </c>
      <c r="M37" s="197">
        <f>IFERROR('4. Parameters'!L43*training_material_central_ToT,0)</f>
        <v>0</v>
      </c>
    </row>
    <row r="38" spans="1:13" s="24" customFormat="1" ht="16">
      <c r="B38" s="29" t="s">
        <v>34</v>
      </c>
      <c r="D38" s="201">
        <f t="shared" ref="D38:M38" si="2">SUM(D27:D37)</f>
        <v>0</v>
      </c>
      <c r="E38" s="201">
        <f t="shared" si="2"/>
        <v>0</v>
      </c>
      <c r="F38" s="201">
        <f t="shared" si="2"/>
        <v>0</v>
      </c>
      <c r="G38" s="201">
        <f t="shared" si="2"/>
        <v>0</v>
      </c>
      <c r="H38" s="201">
        <f t="shared" si="2"/>
        <v>0</v>
      </c>
      <c r="I38" s="201">
        <f t="shared" si="2"/>
        <v>0</v>
      </c>
      <c r="J38" s="201">
        <f t="shared" si="2"/>
        <v>0</v>
      </c>
      <c r="K38" s="201">
        <f t="shared" si="2"/>
        <v>0</v>
      </c>
      <c r="L38" s="201">
        <f t="shared" si="2"/>
        <v>0</v>
      </c>
      <c r="M38" s="201">
        <f t="shared" si="2"/>
        <v>0</v>
      </c>
    </row>
    <row r="39" spans="1:13" s="24" customFormat="1" ht="16">
      <c r="B39" s="27"/>
      <c r="D39" s="104"/>
      <c r="E39" s="104"/>
      <c r="F39" s="104"/>
      <c r="G39" s="104"/>
      <c r="H39" s="104"/>
      <c r="I39" s="104"/>
      <c r="J39" s="104"/>
      <c r="K39" s="104"/>
      <c r="L39" s="104"/>
      <c r="M39" s="104"/>
    </row>
    <row r="40" spans="1:13" s="24" customFormat="1" ht="16">
      <c r="D40" s="102"/>
      <c r="E40" s="102"/>
      <c r="F40" s="102"/>
      <c r="G40" s="102"/>
      <c r="H40" s="102"/>
      <c r="I40" s="102"/>
      <c r="J40" s="102"/>
      <c r="K40" s="102"/>
      <c r="L40" s="102"/>
      <c r="M40" s="102"/>
    </row>
    <row r="41" spans="1:13" s="24" customFormat="1" ht="16">
      <c r="A41" s="25" t="s">
        <v>31</v>
      </c>
      <c r="C41" s="27"/>
      <c r="D41" s="102"/>
      <c r="E41" s="102"/>
      <c r="F41" s="102"/>
      <c r="G41" s="102"/>
      <c r="H41" s="102"/>
      <c r="I41" s="102"/>
      <c r="J41" s="102"/>
      <c r="K41" s="102"/>
      <c r="L41" s="102"/>
      <c r="M41" s="102"/>
    </row>
    <row r="42" spans="1:13" s="24" customFormat="1" ht="16">
      <c r="B42" s="29" t="s">
        <v>93</v>
      </c>
      <c r="D42" s="198">
        <f>IFERROR(nr_districts_tot_r*nr_sessions_tot_r*((nr_participants_per_diem_tot_r*nr_days_per_session_tot_r*per_diem_participants_regional_ToT)),0)</f>
        <v>0</v>
      </c>
      <c r="E42" s="198">
        <f>IFERROR('4. Parameters'!D54*'4. Parameters'!D55*(('4. Parameters'!D59*'4. Parameters'!D56*per_diem_participants_regional_ToT)),0)</f>
        <v>0</v>
      </c>
      <c r="F42" s="198">
        <f>IFERROR('4. Parameters'!E54*'4. Parameters'!E55*(('4. Parameters'!E59*'4. Parameters'!E56*per_diem_participants_regional_ToT)),0)</f>
        <v>0</v>
      </c>
      <c r="G42" s="198">
        <f>IFERROR('4. Parameters'!F54*'4. Parameters'!F55*(('4. Parameters'!F59*'4. Parameters'!F56*per_diem_participants_regional_ToT)),0)</f>
        <v>0</v>
      </c>
      <c r="H42" s="198">
        <f>IFERROR('4. Parameters'!G54*'4. Parameters'!G55*(('4. Parameters'!G59*'4. Parameters'!G56*per_diem_participants_regional_ToT)),0)</f>
        <v>0</v>
      </c>
      <c r="I42" s="198">
        <f>IFERROR('4. Parameters'!H54*'4. Parameters'!H55*(('4. Parameters'!H59*'4. Parameters'!H56*per_diem_participants_regional_ToT)),0)</f>
        <v>0</v>
      </c>
      <c r="J42" s="198">
        <f>IFERROR('4. Parameters'!I54*'4. Parameters'!I55*(('4. Parameters'!I59*'4. Parameters'!I56*per_diem_participants_regional_ToT)),0)</f>
        <v>0</v>
      </c>
      <c r="K42" s="198">
        <f>IFERROR('4. Parameters'!J54*'4. Parameters'!J55*(('4. Parameters'!J59*'4. Parameters'!J56*per_diem_participants_regional_ToT)),0)</f>
        <v>0</v>
      </c>
      <c r="L42" s="198">
        <f>IFERROR('4. Parameters'!K54*'4. Parameters'!K55*(('4. Parameters'!K59*'4. Parameters'!K56*per_diem_participants_regional_ToT)),0)</f>
        <v>0</v>
      </c>
      <c r="M42" s="198">
        <f>IFERROR('4. Parameters'!L54*'4. Parameters'!L55*(('4. Parameters'!L59*'4. Parameters'!L56*per_diem_participants_regional_ToT)),0)</f>
        <v>0</v>
      </c>
    </row>
    <row r="43" spans="1:13" s="24" customFormat="1" ht="16">
      <c r="B43" s="24" t="s">
        <v>168</v>
      </c>
      <c r="D43" s="193">
        <f>IFERROR(nr_districts_tot_r*nr_sessions_tot_r*nr_days_per_session_tot_r*(nr_faciliators_tot_r*per_diem_facilitators_regional_ToT),0)</f>
        <v>0</v>
      </c>
      <c r="E43" s="193">
        <f>IFERROR('4. Parameters'!D54*'4. Parameters'!D55*'4. Parameters'!D56*('4. Parameters'!D60*per_diem_facilitators_regional_ToT),0)</f>
        <v>0</v>
      </c>
      <c r="F43" s="193">
        <f>IFERROR('4. Parameters'!E54*'4. Parameters'!E55*'4. Parameters'!E56*('4. Parameters'!E60*per_diem_facilitators_regional_ToT),0)</f>
        <v>0</v>
      </c>
      <c r="G43" s="193">
        <f>IFERROR('4. Parameters'!F54*'4. Parameters'!F55*'4. Parameters'!F56*('4. Parameters'!F60*per_diem_facilitators_regional_ToT),0)</f>
        <v>0</v>
      </c>
      <c r="H43" s="193">
        <f>IFERROR('4. Parameters'!G54*'4. Parameters'!G55*'4. Parameters'!G56*('4. Parameters'!G60*per_diem_facilitators_regional_ToT),0)</f>
        <v>0</v>
      </c>
      <c r="I43" s="193">
        <f>IFERROR('4. Parameters'!H54*'4. Parameters'!H55*'4. Parameters'!H56*('4. Parameters'!H60*per_diem_facilitators_regional_ToT),0)</f>
        <v>0</v>
      </c>
      <c r="J43" s="193">
        <f>IFERROR('4. Parameters'!I54*'4. Parameters'!I55*'4. Parameters'!I56*('4. Parameters'!I60*per_diem_facilitators_regional_ToT),0)</f>
        <v>0</v>
      </c>
      <c r="K43" s="193">
        <f>IFERROR('4. Parameters'!J54*'4. Parameters'!J55*'4. Parameters'!J56*('4. Parameters'!J60*per_diem_facilitators_regional_ToT),0)</f>
        <v>0</v>
      </c>
      <c r="L43" s="193">
        <f>IFERROR('4. Parameters'!K54*'4. Parameters'!K55*'4. Parameters'!K56*('4. Parameters'!K60*per_diem_facilitators_regional_ToT),0)</f>
        <v>0</v>
      </c>
      <c r="M43" s="193">
        <f>IFERROR('4. Parameters'!L54*'4. Parameters'!L55*'4. Parameters'!L56*('4. Parameters'!L60*per_diem_facilitators_regional_ToT),0)</f>
        <v>0</v>
      </c>
    </row>
    <row r="44" spans="1:13" s="24" customFormat="1" ht="16">
      <c r="B44" s="24" t="s">
        <v>94</v>
      </c>
      <c r="D44" s="193">
        <f>IFERROR(nr_districts_tot_r*nr_sessions_tot_r*((nr_participants_tot_r*transport_participant_regional_ToT)),0)</f>
        <v>0</v>
      </c>
      <c r="E44" s="193">
        <f>IFERROR('4. Parameters'!D54*'4. Parameters'!D55*(('4. Parameters'!D58*transport_participant_regional_ToT)),0)</f>
        <v>0</v>
      </c>
      <c r="F44" s="193">
        <f>IFERROR('4. Parameters'!E54*'4. Parameters'!E55*(('4. Parameters'!E58*transport_participant_regional_ToT)),0)</f>
        <v>0</v>
      </c>
      <c r="G44" s="193">
        <f>IFERROR('4. Parameters'!F54*'4. Parameters'!F55*(('4. Parameters'!F58*transport_participant_regional_ToT)),0)</f>
        <v>0</v>
      </c>
      <c r="H44" s="193">
        <f>IFERROR('4. Parameters'!G54*'4. Parameters'!G55*(('4. Parameters'!G58*transport_participant_regional_ToT)),0)</f>
        <v>0</v>
      </c>
      <c r="I44" s="193">
        <f>IFERROR('4. Parameters'!H54*'4. Parameters'!H55*(('4. Parameters'!H58*transport_participant_regional_ToT)),0)</f>
        <v>0</v>
      </c>
      <c r="J44" s="193">
        <f>IFERROR('4. Parameters'!I54*'4. Parameters'!I55*(('4. Parameters'!I58*transport_participant_regional_ToT)),0)</f>
        <v>0</v>
      </c>
      <c r="K44" s="193">
        <f>IFERROR('4. Parameters'!J54*'4. Parameters'!J55*(('4. Parameters'!J58*transport_participant_regional_ToT)),0)</f>
        <v>0</v>
      </c>
      <c r="L44" s="193">
        <f>IFERROR('4. Parameters'!K54*'4. Parameters'!K55*(('4. Parameters'!K58*transport_participant_regional_ToT)),0)</f>
        <v>0</v>
      </c>
      <c r="M44" s="193">
        <f>IFERROR('4. Parameters'!L54*'4. Parameters'!L55*(('4. Parameters'!L58*transport_participant_regional_ToT)),0)</f>
        <v>0</v>
      </c>
    </row>
    <row r="45" spans="1:13" s="24" customFormat="1" ht="16">
      <c r="B45" s="24" t="s">
        <v>95</v>
      </c>
      <c r="D45" s="193">
        <f>IFERROR(nr_districts_tot_r*nr_sessions_tot_r*((nr_faciliators_tot_r*transport_facilitator_regional_ToT)),0)</f>
        <v>0</v>
      </c>
      <c r="E45" s="193">
        <f>IFERROR('4. Parameters'!D54*'4. Parameters'!D55*(('4. Parameters'!D60*transport_facilitator_regional_ToT)),0)</f>
        <v>0</v>
      </c>
      <c r="F45" s="193">
        <f>IFERROR('4. Parameters'!E54*'4. Parameters'!E55*(('4. Parameters'!E60*transport_facilitator_regional_ToT)),0)</f>
        <v>0</v>
      </c>
      <c r="G45" s="193">
        <f>IFERROR('4. Parameters'!F54*'4. Parameters'!F55*(('4. Parameters'!F60*transport_facilitator_regional_ToT)),0)</f>
        <v>0</v>
      </c>
      <c r="H45" s="193">
        <f>IFERROR('4. Parameters'!G54*'4. Parameters'!G55*(('4. Parameters'!G60*transport_facilitator_regional_ToT)),0)</f>
        <v>0</v>
      </c>
      <c r="I45" s="193">
        <f>IFERROR('4. Parameters'!H54*'4. Parameters'!H55*(('4. Parameters'!H60*transport_facilitator_regional_ToT)),0)</f>
        <v>0</v>
      </c>
      <c r="J45" s="193">
        <f>IFERROR('4. Parameters'!I54*'4. Parameters'!I55*(('4. Parameters'!I60*transport_facilitator_regional_ToT)),0)</f>
        <v>0</v>
      </c>
      <c r="K45" s="193">
        <f>IFERROR('4. Parameters'!J54*'4. Parameters'!J55*(('4. Parameters'!J60*transport_facilitator_regional_ToT)),0)</f>
        <v>0</v>
      </c>
      <c r="L45" s="193">
        <f>IFERROR('4. Parameters'!K54*'4. Parameters'!K55*(('4. Parameters'!K60*transport_facilitator_regional_ToT)),0)</f>
        <v>0</v>
      </c>
      <c r="M45" s="193">
        <f>IFERROR('4. Parameters'!L54*'4. Parameters'!L55*(('4. Parameters'!L60*transport_facilitator_regional_ToT)),0)</f>
        <v>0</v>
      </c>
    </row>
    <row r="46" spans="1:13" s="24" customFormat="1" ht="16">
      <c r="B46" s="24" t="s">
        <v>89</v>
      </c>
      <c r="D46" s="193">
        <f>IFERROR(nr_districts_tot_r*nr_sessions_tot_r*nr_days_per_session_tot_r*((nr_participants_hotel_tot_r+nr_faciliators_hotel_tot_r)*hotel_cost_regional_ToT),0)</f>
        <v>0</v>
      </c>
      <c r="E46" s="193">
        <f>IFERROR('4. Parameters'!D54*'4. Parameters'!D55*'4. Parameters'!D56*(('4. Parameters'!D61+'4. Parameters'!D62)*hotel_cost_regional_ToT),0)</f>
        <v>0</v>
      </c>
      <c r="F46" s="193">
        <f>IFERROR('4. Parameters'!E54*'4. Parameters'!E55*'4. Parameters'!E56*(('4. Parameters'!E61+'4. Parameters'!E62)*hotel_cost_regional_ToT),0)</f>
        <v>0</v>
      </c>
      <c r="G46" s="193">
        <f>IFERROR('4. Parameters'!F54*'4. Parameters'!F55*'4. Parameters'!F56*(('4. Parameters'!F61+'4. Parameters'!F62)*hotel_cost_regional_ToT),0)</f>
        <v>0</v>
      </c>
      <c r="H46" s="193">
        <f>IFERROR('4. Parameters'!G54*'4. Parameters'!G55*'4. Parameters'!G56*(('4. Parameters'!G61+'4. Parameters'!G62)*hotel_cost_regional_ToT),0)</f>
        <v>0</v>
      </c>
      <c r="I46" s="193">
        <f>IFERROR('4. Parameters'!H54*'4. Parameters'!H55*'4. Parameters'!H56*(('4. Parameters'!H61+'4. Parameters'!H62)*hotel_cost_regional_ToT),0)</f>
        <v>0</v>
      </c>
      <c r="J46" s="193">
        <f>IFERROR('4. Parameters'!I54*'4. Parameters'!I55*'4. Parameters'!I56*(('4. Parameters'!I61+'4. Parameters'!I62)*hotel_cost_regional_ToT),0)</f>
        <v>0</v>
      </c>
      <c r="K46" s="193">
        <f>IFERROR('4. Parameters'!J54*'4. Parameters'!J55*'4. Parameters'!J56*(('4. Parameters'!J61+'4. Parameters'!J62)*hotel_cost_regional_ToT),0)</f>
        <v>0</v>
      </c>
      <c r="L46" s="193">
        <f>IFERROR('4. Parameters'!K54*'4. Parameters'!K55*'4. Parameters'!K56*(('4. Parameters'!K61+'4. Parameters'!K62)*hotel_cost_regional_ToT),0)</f>
        <v>0</v>
      </c>
      <c r="M46" s="193">
        <f>IFERROR('4. Parameters'!L54*'4. Parameters'!L55*'4. Parameters'!L56*(('4. Parameters'!L61+'4. Parameters'!L62)*hotel_cost_regional_ToT),0)</f>
        <v>0</v>
      </c>
    </row>
    <row r="47" spans="1:13" s="24" customFormat="1" ht="16">
      <c r="B47" s="24" t="s">
        <v>90</v>
      </c>
      <c r="D47" s="193">
        <f>IFERROR(nr_districts_tot_r*nr_sessions_tot_r*nr_days_per_session_tot_r*((nr_participants_tot_r+nr_faciliators_tot_r)*lunch_regional_ToT),0)</f>
        <v>0</v>
      </c>
      <c r="E47" s="193">
        <f>IFERROR('4. Parameters'!D54*'4. Parameters'!D55*'4. Parameters'!D56*(('4. Parameters'!D58+'4. Parameters'!D60)*lunch_regional_ToT),0)</f>
        <v>0</v>
      </c>
      <c r="F47" s="193">
        <f>IFERROR('4. Parameters'!E54*'4. Parameters'!E55*'4. Parameters'!E56*(('4. Parameters'!E58+'4. Parameters'!E60)*lunch_regional_ToT),0)</f>
        <v>0</v>
      </c>
      <c r="G47" s="193">
        <f>IFERROR('4. Parameters'!F54*'4. Parameters'!F55*'4. Parameters'!F56*(('4. Parameters'!F58+'4. Parameters'!F60)*lunch_regional_ToT),0)</f>
        <v>0</v>
      </c>
      <c r="H47" s="193">
        <f>IFERROR('4. Parameters'!G54*'4. Parameters'!G55*'4. Parameters'!G56*(('4. Parameters'!G58+'4. Parameters'!G60)*lunch_regional_ToT),0)</f>
        <v>0</v>
      </c>
      <c r="I47" s="193">
        <f>IFERROR('4. Parameters'!H54*'4. Parameters'!H55*'4. Parameters'!H56*(('4. Parameters'!H58+'4. Parameters'!H60)*lunch_regional_ToT),0)</f>
        <v>0</v>
      </c>
      <c r="J47" s="193">
        <f>IFERROR('4. Parameters'!I54*'4. Parameters'!I55*'4. Parameters'!I56*(('4. Parameters'!I58+'4. Parameters'!I60)*lunch_regional_ToT),0)</f>
        <v>0</v>
      </c>
      <c r="K47" s="193">
        <f>IFERROR('4. Parameters'!J54*'4. Parameters'!J55*'4. Parameters'!J56*(('4. Parameters'!J58+'4. Parameters'!J60)*lunch_regional_ToT),0)</f>
        <v>0</v>
      </c>
      <c r="L47" s="193">
        <f>IFERROR('4. Parameters'!K54*'4. Parameters'!K55*'4. Parameters'!K56*(('4. Parameters'!K58+'4. Parameters'!K60)*lunch_regional_ToT),0)</f>
        <v>0</v>
      </c>
      <c r="M47" s="193">
        <f>IFERROR('4. Parameters'!L54*'4. Parameters'!L55*'4. Parameters'!L56*(('4. Parameters'!L58+'4. Parameters'!L60)*lunch_regional_ToT),0)</f>
        <v>0</v>
      </c>
    </row>
    <row r="48" spans="1:13" s="24" customFormat="1" ht="16">
      <c r="B48" s="24" t="s">
        <v>91</v>
      </c>
      <c r="D48" s="193">
        <f>IFERROR(nr_districts_tot_r*nr_sessions_tot_r*nr_days_per_session_tot_r*room_rental_regional_ToT,0)</f>
        <v>0</v>
      </c>
      <c r="E48" s="193">
        <f>IFERROR('4. Parameters'!D54*'4. Parameters'!D55*'4. Parameters'!D56*room_rental_regional_ToT,0)</f>
        <v>0</v>
      </c>
      <c r="F48" s="193">
        <f>IFERROR('4. Parameters'!E54*'4. Parameters'!E55*'4. Parameters'!E56*room_rental_regional_ToT,0)</f>
        <v>0</v>
      </c>
      <c r="G48" s="193">
        <f>IFERROR('4. Parameters'!F54*'4. Parameters'!F55*'4. Parameters'!F56*room_rental_regional_ToT,0)</f>
        <v>0</v>
      </c>
      <c r="H48" s="193">
        <f>IFERROR('4. Parameters'!G54*'4. Parameters'!G55*'4. Parameters'!G56*room_rental_regional_ToT,0)</f>
        <v>0</v>
      </c>
      <c r="I48" s="193">
        <f>IFERROR('4. Parameters'!H54*'4. Parameters'!H55*'4. Parameters'!H56*room_rental_regional_ToT,0)</f>
        <v>0</v>
      </c>
      <c r="J48" s="193">
        <f>IFERROR('4. Parameters'!I54*'4. Parameters'!I55*'4. Parameters'!I56*room_rental_regional_ToT,0)</f>
        <v>0</v>
      </c>
      <c r="K48" s="193">
        <f>IFERROR('4. Parameters'!J54*'4. Parameters'!J55*'4. Parameters'!J56*room_rental_regional_ToT,0)</f>
        <v>0</v>
      </c>
      <c r="L48" s="193">
        <f>IFERROR('4. Parameters'!K54*'4. Parameters'!K55*'4. Parameters'!K56*room_rental_regional_ToT,0)</f>
        <v>0</v>
      </c>
      <c r="M48" s="193">
        <f>IFERROR('4. Parameters'!L54*'4. Parameters'!L55*'4. Parameters'!L56*room_rental_regional_ToT,0)</f>
        <v>0</v>
      </c>
    </row>
    <row r="49" spans="1:13" s="24" customFormat="1" ht="16">
      <c r="B49" s="24" t="s">
        <v>68</v>
      </c>
      <c r="D49" s="193">
        <f>IFERROR(nr_districts_tot_r*nr_sessions_tot_r*(stationary_regional_ToT),0)</f>
        <v>0</v>
      </c>
      <c r="E49" s="193">
        <f>IFERROR('4. Parameters'!D54*'4. Parameters'!D55*(stationary_regional_ToT),0)</f>
        <v>0</v>
      </c>
      <c r="F49" s="193">
        <f>IFERROR('4. Parameters'!E54*'4. Parameters'!E55*(stationary_regional_ToT),0)</f>
        <v>0</v>
      </c>
      <c r="G49" s="193">
        <f>IFERROR('4. Parameters'!F54*'4. Parameters'!F55*(stationary_regional_ToT),0)</f>
        <v>0</v>
      </c>
      <c r="H49" s="193">
        <f>IFERROR('4. Parameters'!G54*'4. Parameters'!G55*(stationary_regional_ToT),0)</f>
        <v>0</v>
      </c>
      <c r="I49" s="193">
        <f>IFERROR('4. Parameters'!H54*'4. Parameters'!H55*(stationary_regional_ToT),0)</f>
        <v>0</v>
      </c>
      <c r="J49" s="193">
        <f>IFERROR('4. Parameters'!I54*'4. Parameters'!I55*(stationary_regional_ToT),0)</f>
        <v>0</v>
      </c>
      <c r="K49" s="193">
        <f>IFERROR('4. Parameters'!J54*'4. Parameters'!J55*(stationary_regional_ToT),0)</f>
        <v>0</v>
      </c>
      <c r="L49" s="193">
        <f>IFERROR('4. Parameters'!K54*'4. Parameters'!K55*(stationary_regional_ToT),0)</f>
        <v>0</v>
      </c>
      <c r="M49" s="193">
        <f>IFERROR('4. Parameters'!L54*'4. Parameters'!L55*(stationary_regional_ToT),0)</f>
        <v>0</v>
      </c>
    </row>
    <row r="50" spans="1:13" s="24" customFormat="1" ht="16">
      <c r="B50" s="24" t="s">
        <v>92</v>
      </c>
      <c r="D50" s="193">
        <f>IFERROR(nr_districts_tot_r*nr_sessions_tot_r*(+workshop_package_regional_ToT),0)</f>
        <v>0</v>
      </c>
      <c r="E50" s="193">
        <f>IFERROR('4. Parameters'!D54*'4. Parameters'!D55*(+workshop_package_regional_ToT),0)</f>
        <v>0</v>
      </c>
      <c r="F50" s="193">
        <f>IFERROR('4. Parameters'!E54*'4. Parameters'!E55*(+workshop_package_regional_ToT),0)</f>
        <v>0</v>
      </c>
      <c r="G50" s="193">
        <f>IFERROR('4. Parameters'!F54*'4. Parameters'!F55*(+workshop_package_regional_ToT),0)</f>
        <v>0</v>
      </c>
      <c r="H50" s="193">
        <f>IFERROR('4. Parameters'!G54*'4. Parameters'!G55*(+workshop_package_regional_ToT),0)</f>
        <v>0</v>
      </c>
      <c r="I50" s="193">
        <f>IFERROR('4. Parameters'!H54*'4. Parameters'!H55*(+workshop_package_regional_ToT),0)</f>
        <v>0</v>
      </c>
      <c r="J50" s="193">
        <f>IFERROR('4. Parameters'!I54*'4. Parameters'!I55*(+workshop_package_regional_ToT),0)</f>
        <v>0</v>
      </c>
      <c r="K50" s="193">
        <f>IFERROR('4. Parameters'!J54*'4. Parameters'!J55*(+workshop_package_regional_ToT),0)</f>
        <v>0</v>
      </c>
      <c r="L50" s="193">
        <f>IFERROR('4. Parameters'!K54*'4. Parameters'!K55*(+workshop_package_regional_ToT),0)</f>
        <v>0</v>
      </c>
      <c r="M50" s="193">
        <f>IFERROR('4. Parameters'!L54*'4. Parameters'!L55*(+workshop_package_regional_ToT),0)</f>
        <v>0</v>
      </c>
    </row>
    <row r="51" spans="1:13" s="24" customFormat="1" ht="16">
      <c r="B51" s="29" t="s">
        <v>33</v>
      </c>
      <c r="D51" s="199">
        <f t="shared" ref="D51:M51" si="3">SUM(D42:D50)</f>
        <v>0</v>
      </c>
      <c r="E51" s="199">
        <f t="shared" si="3"/>
        <v>0</v>
      </c>
      <c r="F51" s="199">
        <f t="shared" si="3"/>
        <v>0</v>
      </c>
      <c r="G51" s="199">
        <f t="shared" si="3"/>
        <v>0</v>
      </c>
      <c r="H51" s="199">
        <f t="shared" si="3"/>
        <v>0</v>
      </c>
      <c r="I51" s="199">
        <f t="shared" si="3"/>
        <v>0</v>
      </c>
      <c r="J51" s="199">
        <f t="shared" si="3"/>
        <v>0</v>
      </c>
      <c r="K51" s="199">
        <f t="shared" si="3"/>
        <v>0</v>
      </c>
      <c r="L51" s="199">
        <f t="shared" si="3"/>
        <v>0</v>
      </c>
      <c r="M51" s="199">
        <f t="shared" si="3"/>
        <v>0</v>
      </c>
    </row>
    <row r="52" spans="1:13" s="24" customFormat="1" ht="16">
      <c r="D52" s="102"/>
      <c r="E52" s="102"/>
      <c r="F52" s="102"/>
      <c r="G52" s="102"/>
      <c r="H52" s="102"/>
      <c r="I52" s="102"/>
      <c r="J52" s="102"/>
      <c r="K52" s="102"/>
      <c r="L52" s="102"/>
      <c r="M52" s="102"/>
    </row>
    <row r="53" spans="1:13" s="24" customFormat="1" ht="16">
      <c r="D53" s="102"/>
      <c r="E53" s="102"/>
      <c r="F53" s="102"/>
      <c r="G53" s="102"/>
      <c r="H53" s="102"/>
      <c r="I53" s="102"/>
      <c r="J53" s="102"/>
      <c r="K53" s="102"/>
      <c r="L53" s="102"/>
      <c r="M53" s="102"/>
    </row>
    <row r="54" spans="1:13" s="24" customFormat="1" ht="16">
      <c r="A54" s="25" t="s">
        <v>355</v>
      </c>
      <c r="D54" s="102"/>
      <c r="E54" s="102"/>
      <c r="F54" s="102"/>
      <c r="G54" s="102"/>
      <c r="H54" s="102"/>
      <c r="I54" s="102"/>
      <c r="J54" s="102"/>
      <c r="K54" s="102"/>
      <c r="L54" s="102"/>
      <c r="M54" s="102"/>
    </row>
    <row r="55" spans="1:13" s="24" customFormat="1" ht="16">
      <c r="B55" s="29" t="s">
        <v>163</v>
      </c>
      <c r="D55" s="195">
        <f>IFERROR(nr_districts_to_be_trained*nr_facilities_per_district*nr_sessions_per_year_onsite*((nr_hcw_per_session*nr_days_per_session_onsite*per_diem_facility_staff_onsite_training)),0)</f>
        <v>0</v>
      </c>
      <c r="E55" s="195">
        <f>IFERROR('4. Parameters'!D67*'4. Parameters'!D68*'4. Parameters'!D69*(('4. Parameters'!D71*'4. Parameters'!D70*per_diem_facility_staff_onsite_training)),0)</f>
        <v>0</v>
      </c>
      <c r="F55" s="195">
        <f>IFERROR('4. Parameters'!E67*'4. Parameters'!E68*'4. Parameters'!E69*(('4. Parameters'!E71*'4. Parameters'!E70*per_diem_facility_staff_onsite_training)),0)</f>
        <v>0</v>
      </c>
      <c r="G55" s="195">
        <f>IFERROR('4. Parameters'!F67*'4. Parameters'!F68*'4. Parameters'!F69*(('4. Parameters'!F71*'4. Parameters'!F70*per_diem_facility_staff_onsite_training)),0)</f>
        <v>0</v>
      </c>
      <c r="H55" s="195">
        <f>IFERROR('4. Parameters'!G67*'4. Parameters'!G68*'4. Parameters'!G69*(('4. Parameters'!G71*'4. Parameters'!G70*per_diem_facility_staff_onsite_training)),0)</f>
        <v>0</v>
      </c>
      <c r="I55" s="195">
        <f>IFERROR('4. Parameters'!H67*'4. Parameters'!H68*'4. Parameters'!H69*(('4. Parameters'!H71*'4. Parameters'!H70*per_diem_facility_staff_onsite_training)),0)</f>
        <v>0</v>
      </c>
      <c r="J55" s="195">
        <f>IFERROR('4. Parameters'!I67*'4. Parameters'!I68*'4. Parameters'!I69*(('4. Parameters'!I71*'4. Parameters'!I70*per_diem_facility_staff_onsite_training)),0)</f>
        <v>0</v>
      </c>
      <c r="K55" s="195">
        <f>IFERROR('4. Parameters'!J67*'4. Parameters'!J68*'4. Parameters'!J69*(('4. Parameters'!J71*'4. Parameters'!J70*per_diem_facility_staff_onsite_training)),0)</f>
        <v>0</v>
      </c>
      <c r="L55" s="195">
        <f>IFERROR('4. Parameters'!K67*'4. Parameters'!K68*'4. Parameters'!K69*(('4. Parameters'!K71*'4. Parameters'!K70*per_diem_facility_staff_onsite_training)),0)</f>
        <v>0</v>
      </c>
      <c r="M55" s="195">
        <f>IFERROR('4. Parameters'!L67*'4. Parameters'!L68*'4. Parameters'!L69*(('4. Parameters'!L71*'4. Parameters'!L70*per_diem_facility_staff_onsite_training)),0)</f>
        <v>0</v>
      </c>
    </row>
    <row r="56" spans="1:13" s="24" customFormat="1" ht="16">
      <c r="B56" s="24" t="s">
        <v>164</v>
      </c>
      <c r="D56" s="194">
        <f>IFERROR(nr_districts_to_be_trained*nr_facilities_per_district*nr_sessions_per_year_onsite*nr_days_per_session_onsite*((nr_moh_trainers_onsite*per_diem_MoH_trainers_onsite_training )),0)</f>
        <v>0</v>
      </c>
      <c r="E56" s="194">
        <f>IFERROR('4. Parameters'!D67*'4. Parameters'!D68*'4. Parameters'!D69*'4. Parameters'!D70*(('4. Parameters'!D72*per_diem_MoH_trainers_onsite_training )),0)</f>
        <v>0</v>
      </c>
      <c r="F56" s="194">
        <f>IFERROR('4. Parameters'!E67*'4. Parameters'!E68*'4. Parameters'!E69*'4. Parameters'!E70*(('4. Parameters'!E72*per_diem_MoH_trainers_onsite_training )),0)</f>
        <v>0</v>
      </c>
      <c r="G56" s="194">
        <f>IFERROR('4. Parameters'!F67*'4. Parameters'!F68*'4. Parameters'!F69*'4. Parameters'!F70*(('4. Parameters'!F72*per_diem_MoH_trainers_onsite_training )),0)</f>
        <v>0</v>
      </c>
      <c r="H56" s="194">
        <f>IFERROR('4. Parameters'!G67*'4. Parameters'!G68*'4. Parameters'!G69*'4. Parameters'!G70*(('4. Parameters'!G72*per_diem_MoH_trainers_onsite_training )),0)</f>
        <v>0</v>
      </c>
      <c r="I56" s="194">
        <f>IFERROR('4. Parameters'!H67*'4. Parameters'!H68*'4. Parameters'!H69*'4. Parameters'!H70*(('4. Parameters'!H72*per_diem_MoH_trainers_onsite_training )),0)</f>
        <v>0</v>
      </c>
      <c r="J56" s="194">
        <f>IFERROR('4. Parameters'!I67*'4. Parameters'!I68*'4. Parameters'!I69*'4. Parameters'!I70*(('4. Parameters'!I72*per_diem_MoH_trainers_onsite_training )),0)</f>
        <v>0</v>
      </c>
      <c r="K56" s="194">
        <f>IFERROR('4. Parameters'!J67*'4. Parameters'!J68*'4. Parameters'!J69*'4. Parameters'!J70*(('4. Parameters'!J72*per_diem_MoH_trainers_onsite_training )),0)</f>
        <v>0</v>
      </c>
      <c r="L56" s="194">
        <f>IFERROR('4. Parameters'!K67*'4. Parameters'!K68*'4. Parameters'!K69*'4. Parameters'!K70*(('4. Parameters'!K72*per_diem_MoH_trainers_onsite_training )),0)</f>
        <v>0</v>
      </c>
      <c r="M56" s="194">
        <f>IFERROR('4. Parameters'!L67*'4. Parameters'!L68*'4. Parameters'!L69*'4. Parameters'!L70*(('4. Parameters'!L72*per_diem_MoH_trainers_onsite_training )),0)</f>
        <v>0</v>
      </c>
    </row>
    <row r="57" spans="1:13" s="24" customFormat="1" ht="16">
      <c r="B57" s="33" t="s">
        <v>165</v>
      </c>
      <c r="D57" s="194">
        <f>IFERROR(nr_hcw_transport_reimbursed_onsite*nr_districts_to_be_trained*nr_facilities_per_district*nr_sessions_per_year_onsite*((nr_hcw_per_session*transport_facility_staff_onsite_training)),0)</f>
        <v>0</v>
      </c>
      <c r="E57" s="194">
        <f>IFERROR('4. Parameters'!D75*'4. Parameters'!D67*'4. Parameters'!D68*'4. Parameters'!D69*(('4. Parameters'!D71*transport_facility_staff_onsite_training)),0)</f>
        <v>0</v>
      </c>
      <c r="F57" s="194">
        <f>IFERROR('4. Parameters'!E75*'4. Parameters'!E67*'4. Parameters'!E68*'4. Parameters'!E69*(('4. Parameters'!E71*transport_facility_staff_onsite_training)),0)</f>
        <v>0</v>
      </c>
      <c r="G57" s="194">
        <f>IFERROR('4. Parameters'!F75*'4. Parameters'!F67*'4. Parameters'!F68*'4. Parameters'!F69*(('4. Parameters'!F71*transport_facility_staff_onsite_training)),0)</f>
        <v>0</v>
      </c>
      <c r="H57" s="194">
        <f>IFERROR('4. Parameters'!G75*'4. Parameters'!G67*'4. Parameters'!G68*'4. Parameters'!G69*(('4. Parameters'!G71*transport_facility_staff_onsite_training)),0)</f>
        <v>0</v>
      </c>
      <c r="I57" s="194">
        <f>IFERROR('4. Parameters'!H75*'4. Parameters'!H67*'4. Parameters'!H68*'4. Parameters'!H69*(('4. Parameters'!H71*transport_facility_staff_onsite_training)),0)</f>
        <v>0</v>
      </c>
      <c r="J57" s="194">
        <f>IFERROR('4. Parameters'!I75*'4. Parameters'!I67*'4. Parameters'!I68*'4. Parameters'!I69*(('4. Parameters'!I71*transport_facility_staff_onsite_training)),0)</f>
        <v>0</v>
      </c>
      <c r="K57" s="194">
        <f>IFERROR('4. Parameters'!J75*'4. Parameters'!J67*'4. Parameters'!J68*'4. Parameters'!J69*(('4. Parameters'!J71*transport_facility_staff_onsite_training)),0)</f>
        <v>0</v>
      </c>
      <c r="L57" s="194">
        <f>IFERROR('4. Parameters'!K75*'4. Parameters'!K67*'4. Parameters'!K68*'4. Parameters'!K69*(('4. Parameters'!K71*transport_facility_staff_onsite_training)),0)</f>
        <v>0</v>
      </c>
      <c r="M57" s="194">
        <f>IFERROR('4. Parameters'!L75*'4. Parameters'!L67*'4. Parameters'!L68*'4. Parameters'!L69*(('4. Parameters'!L71*transport_facility_staff_onsite_training)),0)</f>
        <v>0</v>
      </c>
    </row>
    <row r="58" spans="1:13" s="24" customFormat="1" ht="16">
      <c r="B58" s="33" t="s">
        <v>166</v>
      </c>
      <c r="D58" s="194">
        <f>IFERROR(nr_districts_to_be_trained*nr_facilities_per_district*nr_sessions_per_year_onsite*((nr_moh_trainers_onsite*transport_MoH_trainers_onsite_training  + nr_trainers_air_travel*airfare_MoH_trainers_onsite_training)),0)</f>
        <v>0</v>
      </c>
      <c r="E58" s="194">
        <f>IFERROR('4. Parameters'!D67*'4. Parameters'!D68*'4. Parameters'!D69*(('4. Parameters'!D72*transport_MoH_trainers_onsite_training  + '4. Parameters'!D74*airfare_MoH_trainers_onsite_training)),0)</f>
        <v>0</v>
      </c>
      <c r="F58" s="194">
        <f>IFERROR('4. Parameters'!E67*'4. Parameters'!E68*'4. Parameters'!E69*(('4. Parameters'!E72*transport_MoH_trainers_onsite_training  + '4. Parameters'!E74*airfare_MoH_trainers_onsite_training)),0)</f>
        <v>0</v>
      </c>
      <c r="G58" s="194">
        <f>IFERROR('4. Parameters'!F67*'4. Parameters'!F68*'4. Parameters'!F69*(('4. Parameters'!F72*transport_MoH_trainers_onsite_training  + '4. Parameters'!F74*airfare_MoH_trainers_onsite_training)),0)</f>
        <v>0</v>
      </c>
      <c r="H58" s="194">
        <f>IFERROR('4. Parameters'!G67*'4. Parameters'!G68*'4. Parameters'!G69*(('4. Parameters'!G72*transport_MoH_trainers_onsite_training  + '4. Parameters'!G74*airfare_MoH_trainers_onsite_training)),0)</f>
        <v>0</v>
      </c>
      <c r="I58" s="194">
        <f>IFERROR('4. Parameters'!H67*'4. Parameters'!H68*'4. Parameters'!H69*(('4. Parameters'!H72*transport_MoH_trainers_onsite_training  + '4. Parameters'!H74*airfare_MoH_trainers_onsite_training)),0)</f>
        <v>0</v>
      </c>
      <c r="J58" s="194">
        <f>IFERROR('4. Parameters'!I67*'4. Parameters'!I68*'4. Parameters'!I69*(('4. Parameters'!I72*transport_MoH_trainers_onsite_training  + '4. Parameters'!I74*airfare_MoH_trainers_onsite_training)),0)</f>
        <v>0</v>
      </c>
      <c r="K58" s="194">
        <f>IFERROR('4. Parameters'!J67*'4. Parameters'!J68*'4. Parameters'!J69*(('4. Parameters'!J72*transport_MoH_trainers_onsite_training  + '4. Parameters'!J74*airfare_MoH_trainers_onsite_training)),0)</f>
        <v>0</v>
      </c>
      <c r="L58" s="194">
        <f>IFERROR('4. Parameters'!K67*'4. Parameters'!K68*'4. Parameters'!K69*(('4. Parameters'!K72*transport_MoH_trainers_onsite_training  + '4. Parameters'!K74*airfare_MoH_trainers_onsite_training)),0)</f>
        <v>0</v>
      </c>
      <c r="M58" s="194">
        <f>IFERROR('4. Parameters'!L67*'4. Parameters'!L68*'4. Parameters'!L69*(('4. Parameters'!L72*transport_MoH_trainers_onsite_training  + '4. Parameters'!L74*airfare_MoH_trainers_onsite_training)),0)</f>
        <v>0</v>
      </c>
    </row>
    <row r="59" spans="1:13" s="24" customFormat="1" ht="16">
      <c r="B59" s="24" t="s">
        <v>90</v>
      </c>
      <c r="D59" s="194">
        <f>IFERROR(nr_districts_to_be_trained*nr_facilities_per_district*nr_sessions_per_year_onsite*((nr_hcw_per_session*nr_days_per_session_onsite*snacks_onsite_training)),0)</f>
        <v>0</v>
      </c>
      <c r="E59" s="194">
        <f>IFERROR('4. Parameters'!D67*'4. Parameters'!D68*'4. Parameters'!D69*(('4. Parameters'!D71*'4. Parameters'!D70*snacks_onsite_training)),0)</f>
        <v>0</v>
      </c>
      <c r="F59" s="194">
        <f>IFERROR('4. Parameters'!E67*'4. Parameters'!E68*'4. Parameters'!E69*(('4. Parameters'!E71*'4. Parameters'!E70*snacks_onsite_training)),0)</f>
        <v>0</v>
      </c>
      <c r="G59" s="194">
        <f>IFERROR('4. Parameters'!F67*'4. Parameters'!F68*'4. Parameters'!F69*(('4. Parameters'!F71*'4. Parameters'!F70*snacks_onsite_training)),0)</f>
        <v>0</v>
      </c>
      <c r="H59" s="194">
        <f>IFERROR('4. Parameters'!G67*'4. Parameters'!G68*'4. Parameters'!G69*(('4. Parameters'!G71*'4. Parameters'!G70*snacks_onsite_training)),0)</f>
        <v>0</v>
      </c>
      <c r="I59" s="194">
        <f>IFERROR('4. Parameters'!H67*'4. Parameters'!H68*'4. Parameters'!H69*(('4. Parameters'!H71*'4. Parameters'!H70*snacks_onsite_training)),0)</f>
        <v>0</v>
      </c>
      <c r="J59" s="194">
        <f>IFERROR('4. Parameters'!I67*'4. Parameters'!I68*'4. Parameters'!I69*(('4. Parameters'!I71*'4. Parameters'!I70*snacks_onsite_training)),0)</f>
        <v>0</v>
      </c>
      <c r="K59" s="194">
        <f>IFERROR('4. Parameters'!J67*'4. Parameters'!J68*'4. Parameters'!J69*(('4. Parameters'!J71*'4. Parameters'!J70*snacks_onsite_training)),0)</f>
        <v>0</v>
      </c>
      <c r="L59" s="194">
        <f>IFERROR('4. Parameters'!K67*'4. Parameters'!K68*'4. Parameters'!K69*(('4. Parameters'!K71*'4. Parameters'!K70*snacks_onsite_training)),0)</f>
        <v>0</v>
      </c>
      <c r="M59" s="194">
        <f>IFERROR('4. Parameters'!L67*'4. Parameters'!L68*'4. Parameters'!L69*(('4. Parameters'!L71*'4. Parameters'!L70*snacks_onsite_training)),0)</f>
        <v>0</v>
      </c>
    </row>
    <row r="60" spans="1:13" s="24" customFormat="1" ht="16">
      <c r="B60" s="24" t="s">
        <v>96</v>
      </c>
      <c r="D60" s="194">
        <f>IFERROR(onsite_training_venue_needed*nr_districts_to_be_trained*nr_facilities_per_district*nr_sessions_per_year_onsite*((nr_days_per_session_onsite*room_rental_onsite_training)),0)</f>
        <v>0</v>
      </c>
      <c r="E60" s="194">
        <f>IFERROR(onsite_training_venue_needed*'4. Parameters'!D67*'4. Parameters'!D68*'4. Parameters'!D69*(('4. Parameters'!D70*room_rental_onsite_training)),0)</f>
        <v>0</v>
      </c>
      <c r="F60" s="194">
        <f>IFERROR(onsite_training_venue_needed*'4. Parameters'!E67*'4. Parameters'!E68*'4. Parameters'!E69*(('4. Parameters'!E70*room_rental_onsite_training)),0)</f>
        <v>0</v>
      </c>
      <c r="G60" s="194">
        <f>IFERROR(onsite_training_venue_needed*'4. Parameters'!F67*'4. Parameters'!F68*'4. Parameters'!F69*(('4. Parameters'!F70*room_rental_onsite_training)),0)</f>
        <v>0</v>
      </c>
      <c r="H60" s="194">
        <f>IFERROR(onsite_training_venue_needed*'4. Parameters'!G67*'4. Parameters'!G68*'4. Parameters'!G69*(('4. Parameters'!G70*room_rental_onsite_training)),0)</f>
        <v>0</v>
      </c>
      <c r="I60" s="194">
        <f>IFERROR(onsite_training_venue_needed*'4. Parameters'!H67*'4. Parameters'!H68*'4. Parameters'!H69*(('4. Parameters'!H70*room_rental_onsite_training)),0)</f>
        <v>0</v>
      </c>
      <c r="J60" s="194">
        <f>IFERROR(onsite_training_venue_needed*'4. Parameters'!I67*'4. Parameters'!I68*'4. Parameters'!I69*(('4. Parameters'!I70*room_rental_onsite_training)),0)</f>
        <v>0</v>
      </c>
      <c r="K60" s="194">
        <f>IFERROR(onsite_training_venue_needed*'4. Parameters'!J67*'4. Parameters'!J68*'4. Parameters'!J69*(('4. Parameters'!J70*room_rental_onsite_training)),0)</f>
        <v>0</v>
      </c>
      <c r="L60" s="194">
        <f>IFERROR(onsite_training_venue_needed*'4. Parameters'!K67*'4. Parameters'!K68*'4. Parameters'!K69*(('4. Parameters'!K70*room_rental_onsite_training)),0)</f>
        <v>0</v>
      </c>
      <c r="M60" s="194">
        <f>IFERROR(onsite_training_venue_needed*'4. Parameters'!L67*'4. Parameters'!L68*'4. Parameters'!L69*(('4. Parameters'!L70*room_rental_onsite_training)),0)</f>
        <v>0</v>
      </c>
    </row>
    <row r="61" spans="1:13" s="24" customFormat="1" ht="16">
      <c r="B61" s="24" t="s">
        <v>68</v>
      </c>
      <c r="D61" s="194">
        <f>IFERROR(nr_districts_tot_r*nr_sessions_tot_r*(stationary_onsite_training),0)</f>
        <v>0</v>
      </c>
      <c r="E61" s="194">
        <f>IFERROR('4. Parameters'!D67*nr_sessions_per_year_onsite*(stationary_onsite_training),0)</f>
        <v>0</v>
      </c>
      <c r="F61" s="194">
        <f>IFERROR('4. Parameters'!E67*nr_sessions_per_year_onsite*(stationary_onsite_training),0)</f>
        <v>0</v>
      </c>
      <c r="G61" s="194">
        <f>IFERROR('4. Parameters'!F67*nr_sessions_per_year_onsite*(stationary_onsite_training),0)</f>
        <v>0</v>
      </c>
      <c r="H61" s="194">
        <f>IFERROR('4. Parameters'!G67*nr_sessions_per_year_onsite*(stationary_onsite_training),0)</f>
        <v>0</v>
      </c>
      <c r="I61" s="194">
        <f>IFERROR('4. Parameters'!H67*nr_sessions_per_year_onsite*(stationary_onsite_training),0)</f>
        <v>0</v>
      </c>
      <c r="J61" s="194">
        <f>IFERROR('4. Parameters'!I67*nr_sessions_per_year_onsite*(stationary_onsite_training),0)</f>
        <v>0</v>
      </c>
      <c r="K61" s="194">
        <f>IFERROR('4. Parameters'!J67*nr_sessions_per_year_onsite*(stationary_onsite_training),0)</f>
        <v>0</v>
      </c>
      <c r="L61" s="194">
        <f>IFERROR('4. Parameters'!K67*nr_sessions_per_year_onsite*(stationary_onsite_training),0)</f>
        <v>0</v>
      </c>
      <c r="M61" s="194">
        <f>IFERROR('4. Parameters'!L67*nr_sessions_per_year_onsite*(stationary_onsite_training),0)</f>
        <v>0</v>
      </c>
    </row>
    <row r="62" spans="1:13" s="24" customFormat="1" ht="16">
      <c r="B62" s="24" t="s">
        <v>92</v>
      </c>
      <c r="D62" s="194">
        <f>IFERROR(nr_districts_tot_r*nr_sessions_tot_r*(workshop_package_onsite_training),0)</f>
        <v>0</v>
      </c>
      <c r="E62" s="194">
        <f>IFERROR('4. Parameters'!D67*'4. Parameters'!D69*(+workshop_package_onsite_training),0)</f>
        <v>0</v>
      </c>
      <c r="F62" s="194">
        <f>IFERROR('4. Parameters'!E67*'4. Parameters'!E69*(+workshop_package_onsite_training),0)</f>
        <v>0</v>
      </c>
      <c r="G62" s="194">
        <f>IFERROR('4. Parameters'!F67*'4. Parameters'!F69*(+workshop_package_onsite_training),0)</f>
        <v>0</v>
      </c>
      <c r="H62" s="194">
        <f>IFERROR('4. Parameters'!G67*'4. Parameters'!G69*(+workshop_package_onsite_training),0)</f>
        <v>0</v>
      </c>
      <c r="I62" s="194">
        <f>IFERROR('4. Parameters'!H67*'4. Parameters'!H69*(+workshop_package_onsite_training),0)</f>
        <v>0</v>
      </c>
      <c r="J62" s="194">
        <f>IFERROR('4. Parameters'!I67*'4. Parameters'!I69*(+workshop_package_onsite_training),0)</f>
        <v>0</v>
      </c>
      <c r="K62" s="194">
        <f>IFERROR('4. Parameters'!J67*'4. Parameters'!J69*(+workshop_package_onsite_training),0)</f>
        <v>0</v>
      </c>
      <c r="L62" s="194">
        <f>IFERROR('4. Parameters'!K67*'4. Parameters'!K69*(+workshop_package_onsite_training),0)</f>
        <v>0</v>
      </c>
      <c r="M62" s="194">
        <f>IFERROR('4. Parameters'!L67*'4. Parameters'!L69*(+workshop_package_onsite_training),0)</f>
        <v>0</v>
      </c>
    </row>
    <row r="63" spans="1:13" s="24" customFormat="1" ht="16">
      <c r="B63" s="29" t="s">
        <v>36</v>
      </c>
      <c r="D63" s="200">
        <f t="shared" ref="D63:M63" si="4">SUM(D55:D62)</f>
        <v>0</v>
      </c>
      <c r="E63" s="200">
        <f t="shared" si="4"/>
        <v>0</v>
      </c>
      <c r="F63" s="200">
        <f t="shared" si="4"/>
        <v>0</v>
      </c>
      <c r="G63" s="200">
        <f t="shared" si="4"/>
        <v>0</v>
      </c>
      <c r="H63" s="200">
        <f t="shared" si="4"/>
        <v>0</v>
      </c>
      <c r="I63" s="200">
        <f t="shared" si="4"/>
        <v>0</v>
      </c>
      <c r="J63" s="200">
        <f t="shared" si="4"/>
        <v>0</v>
      </c>
      <c r="K63" s="200">
        <f t="shared" si="4"/>
        <v>0</v>
      </c>
      <c r="L63" s="200">
        <f t="shared" si="4"/>
        <v>0</v>
      </c>
      <c r="M63" s="200">
        <f t="shared" si="4"/>
        <v>0</v>
      </c>
    </row>
    <row r="64" spans="1:13" s="24" customFormat="1" ht="16">
      <c r="D64" s="102"/>
      <c r="E64" s="102"/>
      <c r="F64" s="102"/>
      <c r="G64" s="102"/>
      <c r="H64" s="102"/>
      <c r="I64" s="102"/>
      <c r="J64" s="102"/>
      <c r="K64" s="102"/>
      <c r="L64" s="102"/>
      <c r="M64" s="102"/>
    </row>
    <row r="65" spans="4:13" s="24" customFormat="1" ht="16">
      <c r="D65" s="102"/>
      <c r="E65" s="102"/>
      <c r="F65" s="102"/>
      <c r="G65" s="102"/>
      <c r="H65" s="102"/>
      <c r="I65" s="102"/>
      <c r="J65" s="102"/>
      <c r="K65" s="102"/>
      <c r="L65" s="102"/>
      <c r="M65" s="102"/>
    </row>
    <row r="66" spans="4:13" s="24" customFormat="1" ht="16">
      <c r="D66" s="102"/>
      <c r="E66" s="102"/>
      <c r="F66" s="102"/>
      <c r="G66" s="102"/>
      <c r="H66" s="102"/>
      <c r="I66" s="102"/>
      <c r="J66" s="102"/>
      <c r="K66" s="102"/>
      <c r="L66" s="102"/>
      <c r="M66" s="102"/>
    </row>
    <row r="67" spans="4:13" s="24" customFormat="1" ht="16">
      <c r="D67" s="102"/>
      <c r="E67" s="102"/>
      <c r="F67" s="102"/>
      <c r="G67" s="102"/>
      <c r="H67" s="102"/>
      <c r="I67" s="102"/>
      <c r="J67" s="102"/>
      <c r="K67" s="102"/>
      <c r="L67" s="102"/>
      <c r="M67" s="102"/>
    </row>
    <row r="68" spans="4:13" s="24" customFormat="1" ht="16">
      <c r="D68" s="102"/>
      <c r="E68" s="102"/>
      <c r="F68" s="102"/>
      <c r="G68" s="102"/>
      <c r="H68" s="102"/>
      <c r="I68" s="102"/>
      <c r="J68" s="102"/>
      <c r="K68" s="102"/>
      <c r="L68" s="102"/>
      <c r="M68" s="102"/>
    </row>
    <row r="69" spans="4:13" s="24" customFormat="1" ht="16">
      <c r="D69" s="102"/>
      <c r="E69" s="102"/>
      <c r="F69" s="102"/>
      <c r="G69" s="102"/>
      <c r="H69" s="102"/>
      <c r="I69" s="102"/>
      <c r="J69" s="102"/>
      <c r="K69" s="102"/>
      <c r="L69" s="102"/>
      <c r="M69" s="102"/>
    </row>
    <row r="70" spans="4:13" s="24" customFormat="1" ht="16">
      <c r="D70" s="102"/>
      <c r="E70" s="102"/>
      <c r="F70" s="102"/>
      <c r="G70" s="102"/>
      <c r="H70" s="102"/>
      <c r="I70" s="102"/>
      <c r="J70" s="102"/>
      <c r="K70" s="102"/>
      <c r="L70" s="102"/>
      <c r="M70" s="102"/>
    </row>
    <row r="71" spans="4:13" s="24" customFormat="1" ht="16">
      <c r="D71" s="102"/>
      <c r="E71" s="102"/>
      <c r="F71" s="102"/>
      <c r="G71" s="102"/>
      <c r="H71" s="102"/>
      <c r="I71" s="102"/>
      <c r="J71" s="102"/>
      <c r="K71" s="102"/>
      <c r="L71" s="102"/>
      <c r="M71" s="102"/>
    </row>
    <row r="72" spans="4:13" s="24" customFormat="1" ht="16">
      <c r="D72" s="102"/>
      <c r="E72" s="102"/>
      <c r="F72" s="102"/>
      <c r="G72" s="102"/>
      <c r="H72" s="102"/>
      <c r="I72" s="102"/>
      <c r="J72" s="102"/>
      <c r="K72" s="102"/>
      <c r="L72" s="102"/>
      <c r="M72" s="102"/>
    </row>
    <row r="73" spans="4:13" s="24" customFormat="1" ht="16">
      <c r="D73" s="102"/>
      <c r="E73" s="102"/>
      <c r="F73" s="102"/>
      <c r="G73" s="102"/>
      <c r="H73" s="102"/>
      <c r="I73" s="102"/>
      <c r="J73" s="102"/>
      <c r="K73" s="102"/>
      <c r="L73" s="102"/>
      <c r="M73" s="102"/>
    </row>
    <row r="74" spans="4:13" s="24" customFormat="1" ht="16">
      <c r="D74" s="102"/>
      <c r="E74" s="102"/>
      <c r="F74" s="102"/>
      <c r="G74" s="102"/>
      <c r="H74" s="102"/>
      <c r="I74" s="102"/>
      <c r="J74" s="102"/>
      <c r="K74" s="102"/>
      <c r="L74" s="102"/>
      <c r="M74" s="102"/>
    </row>
    <row r="75" spans="4:13" s="24" customFormat="1" ht="16">
      <c r="D75" s="102"/>
      <c r="E75" s="102"/>
      <c r="F75" s="102"/>
      <c r="G75" s="102"/>
      <c r="H75" s="102"/>
      <c r="I75" s="102"/>
      <c r="J75" s="102"/>
      <c r="K75" s="102"/>
      <c r="L75" s="102"/>
      <c r="M75" s="102"/>
    </row>
    <row r="76" spans="4:13" s="24" customFormat="1" ht="16">
      <c r="D76" s="102"/>
      <c r="E76" s="102"/>
      <c r="F76" s="102"/>
      <c r="G76" s="102"/>
      <c r="H76" s="102"/>
      <c r="I76" s="102"/>
      <c r="J76" s="102"/>
      <c r="K76" s="102"/>
      <c r="L76" s="102"/>
      <c r="M76" s="102"/>
    </row>
    <row r="77" spans="4:13" s="24" customFormat="1" ht="16">
      <c r="D77" s="102"/>
      <c r="E77" s="102"/>
      <c r="F77" s="102"/>
      <c r="G77" s="102"/>
      <c r="H77" s="102"/>
      <c r="I77" s="102"/>
      <c r="J77" s="102"/>
      <c r="K77" s="102"/>
      <c r="L77" s="102"/>
      <c r="M77" s="102"/>
    </row>
    <row r="78" spans="4:13" s="24" customFormat="1" ht="16">
      <c r="D78" s="102"/>
      <c r="E78" s="102"/>
      <c r="F78" s="102"/>
      <c r="G78" s="102"/>
      <c r="H78" s="102"/>
      <c r="I78" s="102"/>
      <c r="J78" s="102"/>
      <c r="K78" s="102"/>
      <c r="L78" s="102"/>
      <c r="M78" s="102"/>
    </row>
    <row r="79" spans="4:13" s="24" customFormat="1" ht="16">
      <c r="D79" s="102"/>
      <c r="E79" s="102"/>
      <c r="F79" s="102"/>
      <c r="G79" s="102"/>
      <c r="H79" s="102"/>
      <c r="I79" s="102"/>
      <c r="J79" s="102"/>
      <c r="K79" s="102"/>
      <c r="L79" s="102"/>
      <c r="M79" s="102"/>
    </row>
    <row r="80" spans="4:13" s="24" customFormat="1" ht="16">
      <c r="D80" s="102"/>
      <c r="E80" s="102"/>
      <c r="F80" s="102"/>
      <c r="G80" s="102"/>
      <c r="H80" s="102"/>
      <c r="I80" s="102"/>
      <c r="J80" s="102"/>
      <c r="K80" s="102"/>
      <c r="L80" s="102"/>
      <c r="M80" s="102"/>
    </row>
    <row r="81" spans="4:13" s="24" customFormat="1" ht="16">
      <c r="D81" s="102"/>
      <c r="E81" s="102"/>
      <c r="F81" s="102"/>
      <c r="G81" s="102"/>
      <c r="H81" s="102"/>
      <c r="I81" s="102"/>
      <c r="J81" s="102"/>
      <c r="K81" s="102"/>
      <c r="L81" s="102"/>
      <c r="M81" s="102"/>
    </row>
    <row r="82" spans="4:13" s="24" customFormat="1" ht="16">
      <c r="D82" s="102"/>
      <c r="E82" s="102"/>
      <c r="F82" s="102"/>
      <c r="G82" s="102"/>
      <c r="H82" s="102"/>
      <c r="I82" s="102"/>
      <c r="J82" s="102"/>
      <c r="K82" s="102"/>
      <c r="L82" s="102"/>
      <c r="M82" s="102"/>
    </row>
    <row r="83" spans="4:13" s="24" customFormat="1" ht="16">
      <c r="D83" s="102"/>
      <c r="E83" s="102"/>
      <c r="F83" s="102"/>
      <c r="G83" s="102"/>
      <c r="H83" s="102"/>
      <c r="I83" s="102"/>
      <c r="J83" s="102"/>
      <c r="K83" s="102"/>
      <c r="L83" s="102"/>
      <c r="M83" s="102"/>
    </row>
    <row r="84" spans="4:13" s="24" customFormat="1" ht="16">
      <c r="D84" s="102"/>
      <c r="E84" s="102"/>
      <c r="F84" s="102"/>
      <c r="G84" s="102"/>
      <c r="H84" s="102"/>
      <c r="I84" s="102"/>
      <c r="J84" s="102"/>
      <c r="K84" s="102"/>
      <c r="L84" s="102"/>
      <c r="M84" s="102"/>
    </row>
    <row r="85" spans="4:13" s="24" customFormat="1" ht="16">
      <c r="D85" s="102"/>
      <c r="E85" s="102"/>
      <c r="F85" s="102"/>
      <c r="G85" s="102"/>
      <c r="H85" s="102"/>
      <c r="I85" s="102"/>
      <c r="J85" s="102"/>
      <c r="K85" s="102"/>
      <c r="L85" s="102"/>
      <c r="M85" s="102"/>
    </row>
    <row r="86" spans="4:13" s="24" customFormat="1" ht="16">
      <c r="D86" s="102"/>
      <c r="E86" s="102"/>
      <c r="F86" s="102"/>
      <c r="G86" s="102"/>
      <c r="H86" s="102"/>
      <c r="I86" s="102"/>
      <c r="J86" s="102"/>
      <c r="K86" s="102"/>
      <c r="L86" s="102"/>
      <c r="M86" s="102"/>
    </row>
    <row r="87" spans="4:13" s="24" customFormat="1" ht="16">
      <c r="D87" s="102"/>
      <c r="E87" s="102"/>
      <c r="F87" s="102"/>
      <c r="G87" s="102"/>
      <c r="H87" s="102"/>
      <c r="I87" s="102"/>
      <c r="J87" s="102"/>
      <c r="K87" s="102"/>
      <c r="L87" s="102"/>
      <c r="M87" s="102"/>
    </row>
    <row r="88" spans="4:13" s="24" customFormat="1" ht="16">
      <c r="D88" s="102"/>
      <c r="E88" s="102"/>
      <c r="F88" s="102"/>
      <c r="G88" s="102"/>
      <c r="H88" s="102"/>
      <c r="I88" s="102"/>
      <c r="J88" s="102"/>
      <c r="K88" s="102"/>
      <c r="L88" s="102"/>
      <c r="M88" s="102"/>
    </row>
    <row r="89" spans="4:13" s="24" customFormat="1" ht="16">
      <c r="D89" s="102"/>
      <c r="E89" s="102"/>
      <c r="F89" s="102"/>
      <c r="G89" s="102"/>
      <c r="H89" s="102"/>
      <c r="I89" s="102"/>
      <c r="J89" s="102"/>
      <c r="K89" s="102"/>
      <c r="L89" s="102"/>
      <c r="M89" s="102"/>
    </row>
    <row r="90" spans="4:13" s="24" customFormat="1" ht="16">
      <c r="D90" s="102"/>
      <c r="E90" s="102"/>
      <c r="F90" s="102"/>
      <c r="G90" s="102"/>
      <c r="H90" s="102"/>
      <c r="I90" s="102"/>
      <c r="J90" s="102"/>
      <c r="K90" s="102"/>
      <c r="L90" s="102"/>
      <c r="M90" s="102"/>
    </row>
    <row r="91" spans="4:13" s="24" customFormat="1" ht="16">
      <c r="D91" s="102"/>
      <c r="E91" s="102"/>
      <c r="F91" s="102"/>
      <c r="G91" s="102"/>
      <c r="H91" s="102"/>
      <c r="I91" s="102"/>
      <c r="J91" s="102"/>
      <c r="K91" s="102"/>
      <c r="L91" s="102"/>
      <c r="M91" s="102"/>
    </row>
    <row r="92" spans="4:13" s="24" customFormat="1" ht="16">
      <c r="D92" s="102"/>
      <c r="E92" s="102"/>
      <c r="F92" s="102"/>
      <c r="G92" s="102"/>
      <c r="H92" s="102"/>
      <c r="I92" s="102"/>
      <c r="J92" s="102"/>
      <c r="K92" s="102"/>
      <c r="L92" s="102"/>
      <c r="M92" s="102"/>
    </row>
    <row r="93" spans="4:13" s="24" customFormat="1" ht="16">
      <c r="D93" s="102"/>
      <c r="E93" s="102"/>
      <c r="F93" s="102"/>
      <c r="G93" s="102"/>
      <c r="H93" s="102"/>
      <c r="I93" s="102"/>
      <c r="J93" s="102"/>
      <c r="K93" s="102"/>
      <c r="L93" s="102"/>
      <c r="M93" s="102"/>
    </row>
    <row r="94" spans="4:13" s="24" customFormat="1" ht="16">
      <c r="D94" s="102"/>
      <c r="E94" s="102"/>
      <c r="F94" s="102"/>
      <c r="G94" s="102"/>
      <c r="H94" s="102"/>
      <c r="I94" s="102"/>
      <c r="J94" s="102"/>
      <c r="K94" s="102"/>
      <c r="L94" s="102"/>
      <c r="M94" s="102"/>
    </row>
    <row r="95" spans="4:13" s="24" customFormat="1" ht="16">
      <c r="D95" s="102"/>
      <c r="E95" s="102"/>
      <c r="F95" s="102"/>
      <c r="G95" s="102"/>
      <c r="H95" s="102"/>
      <c r="I95" s="102"/>
      <c r="J95" s="102"/>
      <c r="K95" s="102"/>
      <c r="L95" s="102"/>
      <c r="M95" s="102"/>
    </row>
    <row r="96" spans="4:13" s="24" customFormat="1" ht="16">
      <c r="D96" s="102"/>
      <c r="E96" s="102"/>
      <c r="F96" s="102"/>
      <c r="G96" s="102"/>
      <c r="H96" s="102"/>
      <c r="I96" s="102"/>
      <c r="J96" s="102"/>
      <c r="K96" s="102"/>
      <c r="L96" s="102"/>
      <c r="M96" s="102"/>
    </row>
    <row r="97" spans="4:13" s="24" customFormat="1" ht="16">
      <c r="D97" s="102"/>
      <c r="E97" s="102"/>
      <c r="F97" s="102"/>
      <c r="G97" s="102"/>
      <c r="H97" s="102"/>
      <c r="I97" s="102"/>
      <c r="J97" s="102"/>
      <c r="K97" s="102"/>
      <c r="L97" s="102"/>
      <c r="M97" s="102"/>
    </row>
    <row r="98" spans="4:13" s="24" customFormat="1" ht="16">
      <c r="D98" s="102"/>
      <c r="E98" s="102"/>
      <c r="F98" s="102"/>
      <c r="G98" s="102"/>
      <c r="H98" s="102"/>
      <c r="I98" s="102"/>
      <c r="J98" s="102"/>
      <c r="K98" s="102"/>
      <c r="L98" s="102"/>
      <c r="M98" s="102"/>
    </row>
    <row r="99" spans="4:13" s="24" customFormat="1" ht="16">
      <c r="D99" s="102"/>
      <c r="E99" s="102"/>
      <c r="F99" s="102"/>
      <c r="G99" s="102"/>
      <c r="H99" s="102"/>
      <c r="I99" s="102"/>
      <c r="J99" s="102"/>
      <c r="K99" s="102"/>
      <c r="L99" s="102"/>
      <c r="M99" s="102"/>
    </row>
    <row r="100" spans="4:13" s="24" customFormat="1" ht="16">
      <c r="D100" s="102"/>
      <c r="E100" s="102"/>
      <c r="F100" s="102"/>
      <c r="G100" s="102"/>
      <c r="H100" s="102"/>
      <c r="I100" s="102"/>
      <c r="J100" s="102"/>
      <c r="K100" s="102"/>
      <c r="L100" s="102"/>
      <c r="M100" s="102"/>
    </row>
    <row r="101" spans="4:13" s="24" customFormat="1" ht="16">
      <c r="D101" s="102"/>
      <c r="E101" s="102"/>
      <c r="F101" s="102"/>
      <c r="G101" s="102"/>
      <c r="H101" s="102"/>
      <c r="I101" s="102"/>
      <c r="J101" s="102"/>
      <c r="K101" s="102"/>
      <c r="L101" s="102"/>
      <c r="M101" s="102"/>
    </row>
    <row r="102" spans="4:13" s="24" customFormat="1" ht="16">
      <c r="D102" s="102"/>
      <c r="E102" s="102"/>
      <c r="F102" s="102"/>
      <c r="G102" s="102"/>
      <c r="H102" s="102"/>
      <c r="I102" s="102"/>
      <c r="J102" s="102"/>
      <c r="K102" s="102"/>
      <c r="L102" s="102"/>
      <c r="M102" s="102"/>
    </row>
    <row r="103" spans="4:13" s="24" customFormat="1" ht="16">
      <c r="D103" s="102"/>
      <c r="E103" s="102"/>
      <c r="F103" s="102"/>
      <c r="G103" s="102"/>
      <c r="H103" s="102"/>
      <c r="I103" s="102"/>
      <c r="J103" s="102"/>
      <c r="K103" s="102"/>
      <c r="L103" s="102"/>
      <c r="M103" s="102"/>
    </row>
    <row r="104" spans="4:13" s="24" customFormat="1" ht="16">
      <c r="D104" s="102"/>
      <c r="E104" s="102"/>
      <c r="F104" s="102"/>
      <c r="G104" s="102"/>
      <c r="H104" s="102"/>
      <c r="I104" s="102"/>
      <c r="J104" s="102"/>
      <c r="K104" s="102"/>
      <c r="L104" s="102"/>
      <c r="M104" s="102"/>
    </row>
    <row r="105" spans="4:13" s="24" customFormat="1" ht="16">
      <c r="D105" s="102"/>
      <c r="E105" s="102"/>
      <c r="F105" s="102"/>
      <c r="G105" s="102"/>
      <c r="H105" s="102"/>
      <c r="I105" s="102"/>
      <c r="J105" s="102"/>
      <c r="K105" s="102"/>
      <c r="L105" s="102"/>
      <c r="M105" s="102"/>
    </row>
    <row r="106" spans="4:13" s="24" customFormat="1" ht="16">
      <c r="D106" s="102"/>
      <c r="E106" s="102"/>
      <c r="F106" s="102"/>
      <c r="G106" s="102"/>
      <c r="H106" s="102"/>
      <c r="I106" s="102"/>
      <c r="J106" s="102"/>
      <c r="K106" s="102"/>
      <c r="L106" s="102"/>
      <c r="M106" s="102"/>
    </row>
    <row r="107" spans="4:13" s="24" customFormat="1" ht="16">
      <c r="D107" s="102"/>
      <c r="E107" s="102"/>
      <c r="F107" s="102"/>
      <c r="G107" s="102"/>
      <c r="H107" s="102"/>
      <c r="I107" s="102"/>
      <c r="J107" s="102"/>
      <c r="K107" s="102"/>
      <c r="L107" s="102"/>
      <c r="M107" s="102"/>
    </row>
    <row r="108" spans="4:13" s="24" customFormat="1" ht="16">
      <c r="D108" s="102"/>
      <c r="E108" s="102"/>
      <c r="F108" s="102"/>
      <c r="G108" s="102"/>
      <c r="H108" s="102"/>
      <c r="I108" s="102"/>
      <c r="J108" s="102"/>
      <c r="K108" s="102"/>
      <c r="L108" s="102"/>
      <c r="M108" s="102"/>
    </row>
    <row r="109" spans="4:13" s="24" customFormat="1" ht="16">
      <c r="D109" s="102"/>
      <c r="E109" s="102"/>
      <c r="F109" s="102"/>
      <c r="G109" s="102"/>
      <c r="H109" s="102"/>
      <c r="I109" s="102"/>
      <c r="J109" s="102"/>
      <c r="K109" s="102"/>
      <c r="L109" s="102"/>
      <c r="M109" s="102"/>
    </row>
    <row r="110" spans="4:13" s="24" customFormat="1" ht="16">
      <c r="D110" s="102"/>
      <c r="E110" s="102"/>
      <c r="F110" s="102"/>
      <c r="G110" s="102"/>
      <c r="H110" s="102"/>
      <c r="I110" s="102"/>
      <c r="J110" s="102"/>
      <c r="K110" s="102"/>
      <c r="L110" s="102"/>
      <c r="M110" s="102"/>
    </row>
    <row r="111" spans="4:13" s="24" customFormat="1" ht="16">
      <c r="D111" s="102"/>
      <c r="E111" s="102"/>
      <c r="F111" s="102"/>
      <c r="G111" s="102"/>
      <c r="H111" s="102"/>
      <c r="I111" s="102"/>
      <c r="J111" s="102"/>
      <c r="K111" s="102"/>
      <c r="L111" s="102"/>
      <c r="M111" s="102"/>
    </row>
    <row r="112" spans="4:13" s="24" customFormat="1" ht="16">
      <c r="D112" s="102"/>
      <c r="E112" s="102"/>
      <c r="F112" s="102"/>
      <c r="G112" s="102"/>
      <c r="H112" s="102"/>
      <c r="I112" s="102"/>
      <c r="J112" s="102"/>
      <c r="K112" s="102"/>
      <c r="L112" s="102"/>
      <c r="M112" s="102"/>
    </row>
    <row r="113" spans="4:13" s="24" customFormat="1" ht="16">
      <c r="D113" s="102"/>
      <c r="E113" s="102"/>
      <c r="F113" s="102"/>
      <c r="G113" s="102"/>
      <c r="H113" s="102"/>
      <c r="I113" s="102"/>
      <c r="J113" s="102"/>
      <c r="K113" s="102"/>
      <c r="L113" s="102"/>
      <c r="M113" s="102"/>
    </row>
    <row r="114" spans="4:13" s="24" customFormat="1" ht="16">
      <c r="D114" s="102"/>
      <c r="E114" s="102"/>
      <c r="F114" s="102"/>
      <c r="G114" s="102"/>
      <c r="H114" s="102"/>
      <c r="I114" s="102"/>
      <c r="J114" s="102"/>
      <c r="K114" s="102"/>
      <c r="L114" s="102"/>
      <c r="M114" s="102"/>
    </row>
    <row r="115" spans="4:13" s="24" customFormat="1" ht="16">
      <c r="D115" s="102"/>
      <c r="E115" s="102"/>
      <c r="F115" s="102"/>
      <c r="G115" s="102"/>
      <c r="H115" s="102"/>
      <c r="I115" s="102"/>
      <c r="J115" s="102"/>
      <c r="K115" s="102"/>
      <c r="L115" s="102"/>
      <c r="M115" s="102"/>
    </row>
    <row r="116" spans="4:13" s="24" customFormat="1" ht="16">
      <c r="D116" s="102"/>
      <c r="E116" s="102"/>
      <c r="F116" s="102"/>
      <c r="G116" s="102"/>
      <c r="H116" s="102"/>
      <c r="I116" s="102"/>
      <c r="J116" s="102"/>
      <c r="K116" s="102"/>
      <c r="L116" s="102"/>
      <c r="M116" s="102"/>
    </row>
    <row r="117" spans="4:13" s="24" customFormat="1" ht="16">
      <c r="D117" s="102"/>
      <c r="E117" s="102"/>
      <c r="F117" s="102"/>
      <c r="G117" s="102"/>
      <c r="H117" s="102"/>
      <c r="I117" s="102"/>
      <c r="J117" s="102"/>
      <c r="K117" s="102"/>
      <c r="L117" s="102"/>
      <c r="M117" s="102"/>
    </row>
    <row r="118" spans="4:13" s="24" customFormat="1" ht="16">
      <c r="D118" s="102"/>
      <c r="E118" s="102"/>
      <c r="F118" s="102"/>
      <c r="G118" s="102"/>
      <c r="H118" s="102"/>
      <c r="I118" s="102"/>
      <c r="J118" s="102"/>
      <c r="K118" s="102"/>
      <c r="L118" s="102"/>
      <c r="M118" s="102"/>
    </row>
    <row r="119" spans="4:13" s="24" customFormat="1" ht="16">
      <c r="D119" s="102"/>
      <c r="E119" s="102"/>
      <c r="F119" s="102"/>
      <c r="G119" s="102"/>
      <c r="H119" s="102"/>
      <c r="I119" s="102"/>
      <c r="J119" s="102"/>
      <c r="K119" s="102"/>
      <c r="L119" s="102"/>
      <c r="M119" s="102"/>
    </row>
    <row r="120" spans="4:13" s="24" customFormat="1" ht="16"/>
    <row r="121" spans="4:13" s="24" customFormat="1" ht="16"/>
    <row r="122" spans="4:13" s="24" customFormat="1" ht="16"/>
    <row r="123" spans="4:13" s="24" customFormat="1" ht="16"/>
    <row r="124" spans="4:13" s="24" customFormat="1" ht="16"/>
    <row r="125" spans="4:13" s="24" customFormat="1" ht="16"/>
    <row r="126" spans="4:13" s="24" customFormat="1" ht="16"/>
    <row r="127" spans="4:13" s="24" customFormat="1" ht="16"/>
    <row r="128" spans="4:13" s="24" customFormat="1" ht="16"/>
    <row r="129" s="24" customFormat="1" ht="16"/>
    <row r="130" s="24" customFormat="1" ht="16"/>
    <row r="131" s="24" customFormat="1" ht="16"/>
    <row r="132" s="24" customFormat="1" ht="16"/>
    <row r="133" s="24" customFormat="1" ht="16"/>
    <row r="134" s="24" customFormat="1" ht="16"/>
    <row r="135" s="24" customFormat="1" ht="16"/>
    <row r="136" s="24" customFormat="1" ht="16"/>
    <row r="137" s="24" customFormat="1" ht="16"/>
    <row r="138" s="24" customFormat="1" ht="16"/>
    <row r="139" s="24" customFormat="1" ht="16"/>
    <row r="140" s="24" customFormat="1" ht="16"/>
    <row r="141" s="24" customFormat="1" ht="16"/>
    <row r="142" s="24" customFormat="1" ht="16"/>
    <row r="143" s="24" customFormat="1" ht="16"/>
    <row r="144" s="24" customFormat="1" ht="16"/>
    <row r="145" s="24" customFormat="1" ht="16"/>
    <row r="146" s="24" customFormat="1" ht="16"/>
    <row r="147" s="24" customFormat="1" ht="16"/>
    <row r="148" s="24" customFormat="1" ht="16"/>
    <row r="149" s="24" customFormat="1" ht="16"/>
    <row r="150" s="24" customFormat="1" ht="16"/>
    <row r="151" s="24" customFormat="1" ht="16"/>
    <row r="152" s="24" customFormat="1" ht="16"/>
    <row r="153" s="24" customFormat="1" ht="16"/>
    <row r="154" s="24" customFormat="1" ht="16"/>
    <row r="155" s="24" customFormat="1" ht="16"/>
    <row r="156" s="24" customFormat="1" ht="16"/>
    <row r="157" s="24" customFormat="1" ht="16"/>
    <row r="158" s="24" customFormat="1" ht="16"/>
    <row r="159" s="24" customFormat="1" ht="16"/>
    <row r="160" s="24" customFormat="1" ht="16"/>
    <row r="161" s="24" customFormat="1" ht="16"/>
    <row r="162" s="24" customFormat="1" ht="16"/>
    <row r="163" s="24" customFormat="1" ht="16"/>
    <row r="164" s="24" customFormat="1" ht="16"/>
    <row r="165" s="24" customFormat="1" ht="16"/>
    <row r="166" s="24" customFormat="1" ht="16"/>
    <row r="167" s="24" customFormat="1" ht="16"/>
    <row r="168" s="24" customFormat="1" ht="16"/>
    <row r="169" s="24" customFormat="1" ht="16"/>
    <row r="170" s="24" customFormat="1" ht="16"/>
    <row r="171" s="24" customFormat="1" ht="16"/>
    <row r="172" s="24" customFormat="1" ht="16"/>
    <row r="173" s="24" customFormat="1" ht="16"/>
    <row r="174" s="24" customFormat="1" ht="16"/>
    <row r="175" s="24" customFormat="1" ht="16"/>
    <row r="176" s="24" customFormat="1" ht="16"/>
    <row r="177" s="24" customFormat="1" ht="16"/>
    <row r="178" s="24" customFormat="1" ht="16"/>
    <row r="179" s="24" customFormat="1" ht="16"/>
    <row r="180" s="24" customFormat="1" ht="16"/>
    <row r="181" s="24" customFormat="1" ht="16"/>
    <row r="182" s="24" customFormat="1" ht="16"/>
    <row r="183" s="24" customFormat="1" ht="16"/>
    <row r="184" s="24" customFormat="1" ht="16"/>
    <row r="185" s="24" customFormat="1" ht="16"/>
    <row r="186" s="24" customFormat="1" ht="16"/>
    <row r="187" s="24" customFormat="1" ht="16"/>
    <row r="188" s="24" customFormat="1" ht="16"/>
    <row r="189" s="24" customFormat="1" ht="16"/>
    <row r="190" s="24" customFormat="1" ht="16"/>
    <row r="191" s="24" customFormat="1" ht="16"/>
    <row r="192" s="24" customFormat="1" ht="16"/>
    <row r="193" s="24" customFormat="1" ht="16"/>
    <row r="194" s="24" customFormat="1" ht="16"/>
    <row r="195" s="24" customFormat="1" ht="16"/>
    <row r="196" s="24" customFormat="1" ht="16"/>
    <row r="197" s="24" customFormat="1" ht="16"/>
    <row r="198" s="24" customFormat="1" ht="16"/>
    <row r="199" s="24" customFormat="1" ht="16"/>
    <row r="200" s="24" customFormat="1" ht="16"/>
    <row r="201" s="24" customFormat="1" ht="16"/>
    <row r="202" s="24" customFormat="1" ht="16"/>
    <row r="203" s="24" customFormat="1" ht="16"/>
    <row r="204" s="24" customFormat="1" ht="16"/>
    <row r="205" s="24" customFormat="1" ht="16"/>
    <row r="206" s="24" customFormat="1" ht="16"/>
    <row r="207" s="24" customFormat="1" ht="16"/>
    <row r="208" s="24" customFormat="1" ht="16"/>
    <row r="209" s="24" customFormat="1" ht="16"/>
    <row r="210" s="24" customFormat="1" ht="16"/>
    <row r="211" s="24" customFormat="1" ht="16"/>
    <row r="212" s="24" customFormat="1" ht="16"/>
    <row r="213" s="24" customFormat="1" ht="16"/>
    <row r="214" s="24" customFormat="1" ht="16"/>
    <row r="215" s="24" customFormat="1" ht="16"/>
    <row r="216" s="24" customFormat="1" ht="16"/>
    <row r="217" s="24" customFormat="1" ht="16"/>
    <row r="218" s="24" customFormat="1" ht="16"/>
    <row r="219" s="24" customFormat="1" ht="16"/>
    <row r="220" s="24" customFormat="1" ht="16"/>
    <row r="221" s="24" customFormat="1" ht="16"/>
    <row r="222" s="24" customFormat="1" ht="16"/>
    <row r="223" s="24" customFormat="1" ht="16"/>
    <row r="224" s="24" customFormat="1" ht="16"/>
    <row r="225" s="24" customFormat="1" ht="16"/>
    <row r="226" s="24" customFormat="1" ht="16"/>
    <row r="227" s="24" customFormat="1" ht="16"/>
    <row r="228" s="24" customFormat="1" ht="16"/>
    <row r="229" s="24" customFormat="1" ht="16"/>
    <row r="230" s="24" customFormat="1" ht="16"/>
  </sheetData>
  <hyperlinks>
    <hyperlink ref="B4" location="'2. Training programme'!A9:M22" display="2.1 ToT training for pediatric TB – National Trainers" xr:uid="{00000000-0004-0000-0600-000000000000}"/>
    <hyperlink ref="B6" location="'2. Training programme'!A41:M51" display="2.2 Regional TOT- training of regional Trainers" xr:uid="{00000000-0004-0000-0600-000001000000}"/>
    <hyperlink ref="B7" location="'2. Training programme'!A54:M63" display="2.3 On -site training on pediatric TB (covering HCW from all child entry points)" xr:uid="{00000000-0004-0000-0600-000002000000}"/>
    <hyperlink ref="B5" location="'2. Training programme'!A26:M38" display="2.1.1 ToT training for pediatric TB – National Trainers (refresher)" xr:uid="{00000000-0004-0000-0600-000003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tint="-0.499984740745262"/>
  </sheetPr>
  <dimension ref="A2:M43"/>
  <sheetViews>
    <sheetView showGridLines="0" workbookViewId="0">
      <pane ySplit="9" topLeftCell="A10" activePane="bottomLeft" state="frozen"/>
      <selection pane="bottomLeft" activeCell="D28" sqref="D28"/>
    </sheetView>
  </sheetViews>
  <sheetFormatPr baseColWidth="10" defaultColWidth="9.1640625" defaultRowHeight="16"/>
  <cols>
    <col min="1" max="1" width="9.1640625" style="24"/>
    <col min="2" max="2" width="75.6640625" style="24" bestFit="1" customWidth="1"/>
    <col min="3" max="3" width="9.1640625" style="24"/>
    <col min="4" max="13" width="13.83203125" style="24" bestFit="1" customWidth="1"/>
    <col min="14" max="16384" width="9.1640625" style="24"/>
  </cols>
  <sheetData>
    <row r="2" spans="1:13">
      <c r="A2" s="25" t="s">
        <v>381</v>
      </c>
    </row>
    <row r="4" spans="1:13">
      <c r="A4" s="262" t="s">
        <v>262</v>
      </c>
      <c r="B4" s="262"/>
    </row>
    <row r="5" spans="1:13">
      <c r="A5" s="262" t="s">
        <v>263</v>
      </c>
      <c r="B5" s="262"/>
    </row>
    <row r="6" spans="1:13">
      <c r="A6" s="262" t="s">
        <v>264</v>
      </c>
      <c r="B6" s="262"/>
    </row>
    <row r="7" spans="1:13">
      <c r="A7" s="35"/>
    </row>
    <row r="9" spans="1:13" s="27" customFormat="1">
      <c r="D9" s="30">
        <f>start_year</f>
        <v>2020</v>
      </c>
      <c r="E9" s="30">
        <f>D9+1</f>
        <v>2021</v>
      </c>
      <c r="F9" s="30">
        <f t="shared" ref="F9:J9" si="0">E9+1</f>
        <v>2022</v>
      </c>
      <c r="G9" s="30">
        <f t="shared" si="0"/>
        <v>2023</v>
      </c>
      <c r="H9" s="30">
        <f t="shared" si="0"/>
        <v>2024</v>
      </c>
      <c r="I9" s="30">
        <f t="shared" si="0"/>
        <v>2025</v>
      </c>
      <c r="J9" s="30">
        <f t="shared" si="0"/>
        <v>2026</v>
      </c>
      <c r="K9" s="30">
        <f t="shared" ref="K9:M9" si="1">J9+1</f>
        <v>2027</v>
      </c>
      <c r="L9" s="30">
        <f t="shared" si="1"/>
        <v>2028</v>
      </c>
      <c r="M9" s="30">
        <f t="shared" si="1"/>
        <v>2029</v>
      </c>
    </row>
    <row r="10" spans="1:13">
      <c r="B10" s="27"/>
      <c r="D10" s="28"/>
      <c r="E10" s="28"/>
      <c r="F10" s="28"/>
      <c r="G10" s="28"/>
      <c r="H10" s="28"/>
      <c r="I10" s="28"/>
      <c r="J10" s="28"/>
      <c r="K10" s="28"/>
      <c r="L10" s="28"/>
      <c r="M10" s="28"/>
    </row>
    <row r="11" spans="1:13">
      <c r="A11" s="25"/>
      <c r="B11" s="25" t="s">
        <v>262</v>
      </c>
    </row>
    <row r="12" spans="1:13">
      <c r="A12" s="25"/>
      <c r="B12" s="29" t="s">
        <v>256</v>
      </c>
      <c r="D12" s="195">
        <f>IFERROR(prop_paediatric_TB*nr_regions_m_s*nr_visits_regional_m_s*nr_days_regional_m_s*nr_nat_staff_regional_m_s*per_diem_national,0)</f>
        <v>0</v>
      </c>
      <c r="E12" s="195">
        <f>IFERROR(prop_paediatric_TB*'4. Parameters'!D82*'4. Parameters'!D83*'4. Parameters'!D84*'4. Parameters'!D85*per_diem_national,0)</f>
        <v>0</v>
      </c>
      <c r="F12" s="195">
        <f>IFERROR(prop_paediatric_TB*'4. Parameters'!E82*'4. Parameters'!E83*'4. Parameters'!E84*'4. Parameters'!E85*per_diem_national,0)</f>
        <v>0</v>
      </c>
      <c r="G12" s="195">
        <f>IFERROR(prop_paediatric_TB*'4. Parameters'!F82*'4. Parameters'!F83*'4. Parameters'!F84*'4. Parameters'!F85*per_diem_national,0)</f>
        <v>0</v>
      </c>
      <c r="H12" s="195">
        <f>IFERROR(prop_paediatric_TB*'4. Parameters'!G82*'4. Parameters'!G83*'4. Parameters'!G84*'4. Parameters'!G85*per_diem_national,0)</f>
        <v>0</v>
      </c>
      <c r="I12" s="195">
        <f>IFERROR(prop_paediatric_TB*'4. Parameters'!H82*'4. Parameters'!H83*'4. Parameters'!H84*'4. Parameters'!H85*per_diem_national,0)</f>
        <v>0</v>
      </c>
      <c r="J12" s="195">
        <f>IFERROR(prop_paediatric_TB*'4. Parameters'!I82*'4. Parameters'!I83*'4. Parameters'!I84*'4. Parameters'!I85*per_diem_national,0)</f>
        <v>0</v>
      </c>
      <c r="K12" s="195">
        <f>IFERROR(prop_paediatric_TB*'4. Parameters'!J82*'4. Parameters'!J83*'4. Parameters'!J84*'4. Parameters'!J85*per_diem_national,0)</f>
        <v>0</v>
      </c>
      <c r="L12" s="195">
        <f>IFERROR(prop_paediatric_TB*'4. Parameters'!K82*'4. Parameters'!K83*'4. Parameters'!K84*'4. Parameters'!K85*per_diem_national,0)</f>
        <v>0</v>
      </c>
      <c r="M12" s="195">
        <f>IFERROR(prop_paediatric_TB*'4. Parameters'!L82*'4. Parameters'!L83*'4. Parameters'!L84*'4. Parameters'!L85*per_diem_national,0)</f>
        <v>0</v>
      </c>
    </row>
    <row r="13" spans="1:13">
      <c r="A13" s="25"/>
      <c r="B13" s="27" t="s">
        <v>254</v>
      </c>
      <c r="D13" s="196">
        <f>IFERROR(prop_paediatric_TB*nr_regions_m_s*nr_visits_regional_m_s*nr_days_regional_m_s*nr_supp_staff_regional_m_s*per_diem_MoH_other,0)</f>
        <v>0</v>
      </c>
      <c r="E13" s="196">
        <f>IFERROR(prop_paediatric_TB*'4. Parameters'!D82*'4. Parameters'!D83*'4. Parameters'!D84*'4. Parameters'!D86*per_diem_MoH_other,0)</f>
        <v>0</v>
      </c>
      <c r="F13" s="196">
        <f>IFERROR(prop_paediatric_TB*'4. Parameters'!E82*'4. Parameters'!E83*'4. Parameters'!E84*'4. Parameters'!E86*per_diem_MoH_other,0)</f>
        <v>0</v>
      </c>
      <c r="G13" s="196">
        <f>IFERROR(prop_paediatric_TB*'4. Parameters'!F82*'4. Parameters'!F83*'4. Parameters'!F84*'4. Parameters'!F86*per_diem_MoH_other,0)</f>
        <v>0</v>
      </c>
      <c r="H13" s="196">
        <f>IFERROR(prop_paediatric_TB*'4. Parameters'!G82*'4. Parameters'!G83*'4. Parameters'!G84*'4. Parameters'!G86*per_diem_MoH_other,0)</f>
        <v>0</v>
      </c>
      <c r="I13" s="196">
        <f>IFERROR(prop_paediatric_TB*'4. Parameters'!H82*'4. Parameters'!H83*'4. Parameters'!H84*'4. Parameters'!H86*per_diem_MoH_other,0)</f>
        <v>0</v>
      </c>
      <c r="J13" s="196">
        <f>IFERROR(prop_paediatric_TB*'4. Parameters'!I82*'4. Parameters'!I83*'4. Parameters'!I84*'4. Parameters'!I86*per_diem_MoH_other,0)</f>
        <v>0</v>
      </c>
      <c r="K13" s="196">
        <f>IFERROR(prop_paediatric_TB*'4. Parameters'!J82*'4. Parameters'!J83*'4. Parameters'!J84*'4. Parameters'!J86*per_diem_MoH_other,0)</f>
        <v>0</v>
      </c>
      <c r="L13" s="196">
        <f>IFERROR(prop_paediatric_TB*'4. Parameters'!K82*'4. Parameters'!K83*'4. Parameters'!K84*'4. Parameters'!K86*per_diem_MoH_other,0)</f>
        <v>0</v>
      </c>
      <c r="M13" s="196">
        <f>IFERROR(prop_paediatric_TB*'4. Parameters'!L82*'4. Parameters'!L83*'4. Parameters'!L84*'4. Parameters'!L86*per_diem_MoH_other,0)</f>
        <v>0</v>
      </c>
    </row>
    <row r="14" spans="1:13">
      <c r="A14" s="25"/>
      <c r="B14" s="27" t="s">
        <v>289</v>
      </c>
      <c r="D14" s="196">
        <f>IFERROR(prop_paediatric_TB*nr_regions_m_s*nr_visits_regional_m_s*nr_days_regional_m_s*nr_nat_staff_regional_m_s*supervision_fees,0)</f>
        <v>0</v>
      </c>
      <c r="E14" s="196">
        <f>IFERROR('4. Parameters'!D89*'4. Parameters'!D82*'4. Parameters'!D83*'4. Parameters'!D84*'4. Parameters'!D85*supervision_fees,0)</f>
        <v>0</v>
      </c>
      <c r="F14" s="196">
        <f>IFERROR('4. Parameters'!E89*'4. Parameters'!E82*'4. Parameters'!E83*'4. Parameters'!E84*'4. Parameters'!E85*supervision_fees,0)</f>
        <v>0</v>
      </c>
      <c r="G14" s="196">
        <f>IFERROR('4. Parameters'!F89*'4. Parameters'!F82*'4. Parameters'!F83*'4. Parameters'!F84*'4. Parameters'!F85*supervision_fees,0)</f>
        <v>0</v>
      </c>
      <c r="H14" s="196">
        <f>IFERROR('4. Parameters'!G89*'4. Parameters'!G82*'4. Parameters'!G83*'4. Parameters'!G84*'4. Parameters'!G85*supervision_fees,0)</f>
        <v>0</v>
      </c>
      <c r="I14" s="196">
        <f>IFERROR('4. Parameters'!H89*'4. Parameters'!H82*'4. Parameters'!H83*'4. Parameters'!H84*'4. Parameters'!H85*supervision_fees,0)</f>
        <v>0</v>
      </c>
      <c r="J14" s="196">
        <f>IFERROR('4. Parameters'!I89*'4. Parameters'!I82*'4. Parameters'!I83*'4. Parameters'!I84*'4. Parameters'!I85*supervision_fees,0)</f>
        <v>0</v>
      </c>
      <c r="K14" s="196">
        <f>IFERROR('4. Parameters'!J89*'4. Parameters'!J82*'4. Parameters'!J83*'4. Parameters'!J84*'4. Parameters'!J85*supervision_fees,0)</f>
        <v>0</v>
      </c>
      <c r="L14" s="196">
        <f>IFERROR('4. Parameters'!K89*'4. Parameters'!K82*'4. Parameters'!K83*'4. Parameters'!K84*'4. Parameters'!K85*supervision_fees,0)</f>
        <v>0</v>
      </c>
      <c r="M14" s="196">
        <f>IFERROR('4. Parameters'!L89*'4. Parameters'!L82*'4. Parameters'!L83*'4. Parameters'!L84*'4. Parameters'!L85*supervision_fees,0)</f>
        <v>0</v>
      </c>
    </row>
    <row r="15" spans="1:13">
      <c r="A15" s="25"/>
      <c r="B15" s="27" t="s">
        <v>77</v>
      </c>
      <c r="D15" s="196">
        <f>IFERROR(prop_paediatric_TB*nr_regions_m_s*nr_visits_regional_m_s*nr_days_regional_m_s*(nr_nat_staff_regional_m_s+nr_supp_staff_regional_m_s)*transport_mentorship_regional,0)</f>
        <v>0</v>
      </c>
      <c r="E15" s="196">
        <f>IFERROR(prop_paediatric_TB*'4. Parameters'!D82*'4. Parameters'!D83*'4. Parameters'!D84*('4. Parameters'!D85+'4. Parameters'!D86)*transport_mentorship_regional,0)</f>
        <v>0</v>
      </c>
      <c r="F15" s="196">
        <f>IFERROR(prop_paediatric_TB*'4. Parameters'!E82*'4. Parameters'!E83*'4. Parameters'!E84*('4. Parameters'!E85+'4. Parameters'!E86)*transport_mentorship_regional,0)</f>
        <v>0</v>
      </c>
      <c r="G15" s="196">
        <f>IFERROR(prop_paediatric_TB*'4. Parameters'!F82*'4. Parameters'!F83*'4. Parameters'!F84*('4. Parameters'!F85+'4. Parameters'!F86)*transport_mentorship_regional,0)</f>
        <v>0</v>
      </c>
      <c r="H15" s="196">
        <f>IFERROR(prop_paediatric_TB*'4. Parameters'!G82*'4. Parameters'!G83*'4. Parameters'!G84*('4. Parameters'!G85+'4. Parameters'!G86)*transport_mentorship_regional,0)</f>
        <v>0</v>
      </c>
      <c r="I15" s="196">
        <f>IFERROR(prop_paediatric_TB*'4. Parameters'!H82*'4. Parameters'!H83*'4. Parameters'!H84*('4. Parameters'!H85+'4. Parameters'!H86)*transport_mentorship_regional,0)</f>
        <v>0</v>
      </c>
      <c r="J15" s="196">
        <f>IFERROR(prop_paediatric_TB*'4. Parameters'!I82*'4. Parameters'!I83*'4. Parameters'!I84*('4. Parameters'!I85+'4. Parameters'!I86)*transport_mentorship_regional,0)</f>
        <v>0</v>
      </c>
      <c r="K15" s="196">
        <f>IFERROR(prop_paediatric_TB*'4. Parameters'!J82*'4. Parameters'!J83*'4. Parameters'!J84*('4. Parameters'!J85+'4. Parameters'!J86)*transport_mentorship_regional,0)</f>
        <v>0</v>
      </c>
      <c r="L15" s="196">
        <f>IFERROR(prop_paediatric_TB*'4. Parameters'!K82*'4. Parameters'!K83*'4. Parameters'!K84*('4. Parameters'!K85+'4. Parameters'!K86)*transport_mentorship_regional,0)</f>
        <v>0</v>
      </c>
      <c r="M15" s="196">
        <f>IFERROR(prop_paediatric_TB*'4. Parameters'!L82*'4. Parameters'!L83*'4. Parameters'!L84*('4. Parameters'!L85+'4. Parameters'!L86)*transport_mentorship_regional,0)</f>
        <v>0</v>
      </c>
    </row>
    <row r="16" spans="1:13">
      <c r="A16" s="25"/>
      <c r="B16" s="27" t="s">
        <v>255</v>
      </c>
      <c r="D16" s="196">
        <f>IFERROR(prop_paediatric_TB*nr_regions_m_s*nr_visits_regional_m_s*nr_staff_air_trans_regional_m_s*airfare_mentorship,0)</f>
        <v>0</v>
      </c>
      <c r="E16" s="196">
        <f>IFERROR(prop_paediatric_TB*'4. Parameters'!D82*'4. Parameters'!D83*'4. Parameters'!D88*airfare_mentorship,0)</f>
        <v>0</v>
      </c>
      <c r="F16" s="196">
        <f>IFERROR(prop_paediatric_TB*'4. Parameters'!E82*'4. Parameters'!E83*'4. Parameters'!E88*airfare_mentorship,0)</f>
        <v>0</v>
      </c>
      <c r="G16" s="196">
        <f>IFERROR(prop_paediatric_TB*'4. Parameters'!F82*'4. Parameters'!F83*'4. Parameters'!F88*airfare_mentorship,0)</f>
        <v>0</v>
      </c>
      <c r="H16" s="196">
        <f>IFERROR(prop_paediatric_TB*'4. Parameters'!G82*'4. Parameters'!G83*'4. Parameters'!G88*airfare_mentorship,0)</f>
        <v>0</v>
      </c>
      <c r="I16" s="196">
        <f>IFERROR(prop_paediatric_TB*'4. Parameters'!H82*'4. Parameters'!H83*'4. Parameters'!H88*airfare_mentorship,0)</f>
        <v>0</v>
      </c>
      <c r="J16" s="196">
        <f>IFERROR(prop_paediatric_TB*'4. Parameters'!I82*'4. Parameters'!I83*'4. Parameters'!I88*airfare_mentorship,0)</f>
        <v>0</v>
      </c>
      <c r="K16" s="196">
        <f>IFERROR(prop_paediatric_TB*'4. Parameters'!J82*'4. Parameters'!J83*'4. Parameters'!J88*airfare_mentorship,0)</f>
        <v>0</v>
      </c>
      <c r="L16" s="196">
        <f>IFERROR(prop_paediatric_TB*'4. Parameters'!K82*'4. Parameters'!K83*'4. Parameters'!K88*airfare_mentorship,0)</f>
        <v>0</v>
      </c>
      <c r="M16" s="196">
        <f>IFERROR(prop_paediatric_TB*'4. Parameters'!L82*'4. Parameters'!L83*'4. Parameters'!L88*airfare_mentorship,0)</f>
        <v>0</v>
      </c>
    </row>
    <row r="17" spans="1:13">
      <c r="A17" s="25"/>
      <c r="B17" s="24" t="s">
        <v>89</v>
      </c>
      <c r="D17" s="196">
        <f>IFERROR(prop_paediatric_TB*nr_regions_m_s*nr_visits_regional_m_s*nr_days_regional_m_s*(nr_nat_staff_regional_m_s+nr_supp_staff_regional_m_s)*hotel_mentorship,0)</f>
        <v>0</v>
      </c>
      <c r="E17" s="196">
        <f>IFERROR(prop_paediatric_TB*'4. Parameters'!D82*'4. Parameters'!D83*'4. Parameters'!D84*('4. Parameters'!D85+'4. Parameters'!D86)*hotel_mentorship,0)</f>
        <v>0</v>
      </c>
      <c r="F17" s="196">
        <f>IFERROR(prop_paediatric_TB*'4. Parameters'!E82*'4. Parameters'!E83*'4. Parameters'!E84*('4. Parameters'!E85+'4. Parameters'!E86)*hotel_mentorship,0)</f>
        <v>0</v>
      </c>
      <c r="G17" s="196">
        <f>IFERROR(prop_paediatric_TB*'4. Parameters'!F82*'4. Parameters'!F83*'4. Parameters'!F84*('4. Parameters'!F85+'4. Parameters'!F86)*hotel_mentorship,0)</f>
        <v>0</v>
      </c>
      <c r="H17" s="196">
        <f>IFERROR(prop_paediatric_TB*'4. Parameters'!G82*'4. Parameters'!G83*'4. Parameters'!G84*('4. Parameters'!G85+'4. Parameters'!G86)*hotel_mentorship,0)</f>
        <v>0</v>
      </c>
      <c r="I17" s="196">
        <f>IFERROR(prop_paediatric_TB*'4. Parameters'!H82*'4. Parameters'!H83*'4. Parameters'!H84*('4. Parameters'!H85+'4. Parameters'!H86)*hotel_mentorship,0)</f>
        <v>0</v>
      </c>
      <c r="J17" s="196">
        <f>IFERROR(prop_paediatric_TB*'4. Parameters'!I82*'4. Parameters'!I83*'4. Parameters'!I84*('4. Parameters'!I85+'4. Parameters'!I86)*hotel_mentorship,0)</f>
        <v>0</v>
      </c>
      <c r="K17" s="196">
        <f>IFERROR(prop_paediatric_TB*'4. Parameters'!J82*'4. Parameters'!J83*'4. Parameters'!J84*('4. Parameters'!J85+'4. Parameters'!J86)*hotel_mentorship,0)</f>
        <v>0</v>
      </c>
      <c r="L17" s="196">
        <f>IFERROR(prop_paediatric_TB*'4. Parameters'!K82*'4. Parameters'!K83*'4. Parameters'!K84*('4. Parameters'!K85+'4. Parameters'!K86)*hotel_mentorship,0)</f>
        <v>0</v>
      </c>
      <c r="M17" s="196">
        <f>IFERROR(prop_paediatric_TB*'4. Parameters'!L82*'4. Parameters'!L83*'4. Parameters'!L84*('4. Parameters'!L85+'4. Parameters'!L86)*hotel_mentorship,0)</f>
        <v>0</v>
      </c>
    </row>
    <row r="18" spans="1:13">
      <c r="B18" s="24" t="s">
        <v>90</v>
      </c>
      <c r="D18" s="196">
        <f>IFERROR(prop_paediatric_TB*nr_regions_m_s*nr_visits_regional_m_s*nr_days_regional_m_s*(nr_nat_staff_regional_m_s+nr_supp_staff_regional_m_s)*(lunch_mentorship +refreshments_mentorship),0)</f>
        <v>0</v>
      </c>
      <c r="E18" s="196">
        <f>IFERROR(prop_paediatric_TB*'4. Parameters'!D82*'4. Parameters'!D83*'4. Parameters'!D84*('4. Parameters'!D85+'4. Parameters'!D86)*(lunch_mentorship+refreshments_mentorship),0)</f>
        <v>0</v>
      </c>
      <c r="F18" s="196">
        <f>IFERROR(prop_paediatric_TB*'4. Parameters'!E82*'4. Parameters'!E83*'4. Parameters'!E84*('4. Parameters'!E85+'4. Parameters'!E86)*(lunch_mentorship+refreshments_mentorship),0)</f>
        <v>0</v>
      </c>
      <c r="G18" s="196">
        <f>IFERROR(prop_paediatric_TB*'4. Parameters'!F82*'4. Parameters'!F83*'4. Parameters'!F84*('4. Parameters'!F85+'4. Parameters'!F86)*(lunch_mentorship+refreshments_mentorship),0)</f>
        <v>0</v>
      </c>
      <c r="H18" s="196">
        <f>IFERROR(prop_paediatric_TB*'4. Parameters'!G82*'4. Parameters'!G83*'4. Parameters'!G84*('4. Parameters'!G85+'4. Parameters'!G86)*(lunch_mentorship+refreshments_mentorship),0)</f>
        <v>0</v>
      </c>
      <c r="I18" s="196">
        <f>IFERROR(prop_paediatric_TB*'4. Parameters'!H82*'4. Parameters'!H83*'4. Parameters'!H84*('4. Parameters'!H85+'4. Parameters'!H86)*(lunch_mentorship+refreshments_mentorship),0)</f>
        <v>0</v>
      </c>
      <c r="J18" s="196">
        <f>IFERROR(prop_paediatric_TB*'4. Parameters'!I82*'4. Parameters'!I83*'4. Parameters'!I84*('4. Parameters'!I85+'4. Parameters'!I86)*(lunch_mentorship+refreshments_mentorship),0)</f>
        <v>0</v>
      </c>
      <c r="K18" s="196">
        <f>IFERROR(prop_paediatric_TB*'4. Parameters'!J82*'4. Parameters'!J83*'4. Parameters'!J84*('4. Parameters'!J85+'4. Parameters'!J86)*(lunch_mentorship+refreshments_mentorship),0)</f>
        <v>0</v>
      </c>
      <c r="L18" s="196">
        <f>IFERROR(prop_paediatric_TB*'4. Parameters'!K82*'4. Parameters'!K83*'4. Parameters'!K84*('4. Parameters'!K85+'4. Parameters'!K86)*(lunch_mentorship+refreshments_mentorship),0)</f>
        <v>0</v>
      </c>
      <c r="M18" s="196">
        <f>IFERROR(prop_paediatric_TB*'4. Parameters'!L82*'4. Parameters'!L83*'4. Parameters'!L84*('4. Parameters'!L85+'4. Parameters'!L86)*(lunch_mentorship+refreshments_mentorship),0)</f>
        <v>0</v>
      </c>
    </row>
    <row r="19" spans="1:13">
      <c r="B19" s="24" t="s">
        <v>68</v>
      </c>
      <c r="D19" s="196">
        <f>IFERROR(prop_paediatric_TB*nr_regions_m_s*nr_visits_regional_m_s*(stationary_mentorship),0)</f>
        <v>0</v>
      </c>
      <c r="E19" s="196">
        <f>IFERROR('4. Parameters'!D89*'4. Parameters'!D82*'4. Parameters'!D83*(stationary_mentorship),0)</f>
        <v>0</v>
      </c>
      <c r="F19" s="196">
        <f>IFERROR('4. Parameters'!E89*'4. Parameters'!E82*'4. Parameters'!E83*(stationary_mentorship),0)</f>
        <v>0</v>
      </c>
      <c r="G19" s="196">
        <f>IFERROR('4. Parameters'!F89*'4. Parameters'!F82*'4. Parameters'!F83*(stationary_mentorship),0)</f>
        <v>0</v>
      </c>
      <c r="H19" s="196">
        <f>IFERROR('4. Parameters'!G89*'4. Parameters'!G82*'4. Parameters'!G83*(stationary_mentorship),0)</f>
        <v>0</v>
      </c>
      <c r="I19" s="196">
        <f>IFERROR('4. Parameters'!H89*'4. Parameters'!H82*'4. Parameters'!H83*(stationary_mentorship),0)</f>
        <v>0</v>
      </c>
      <c r="J19" s="196">
        <f>IFERROR('4. Parameters'!I89*'4. Parameters'!I82*'4. Parameters'!I83*(stationary_mentorship),0)</f>
        <v>0</v>
      </c>
      <c r="K19" s="196">
        <f>IFERROR('4. Parameters'!J89*'4. Parameters'!J82*'4. Parameters'!J83*(stationary_mentorship),0)</f>
        <v>0</v>
      </c>
      <c r="L19" s="196">
        <f>IFERROR('4. Parameters'!K89*'4. Parameters'!K82*'4. Parameters'!K83*(stationary_mentorship),0)</f>
        <v>0</v>
      </c>
      <c r="M19" s="196">
        <f>IFERROR('4. Parameters'!L89*'4. Parameters'!L82*'4. Parameters'!L83*(stationary_mentorship),0)</f>
        <v>0</v>
      </c>
    </row>
    <row r="20" spans="1:13">
      <c r="B20" s="24" t="s">
        <v>47</v>
      </c>
      <c r="D20" s="196">
        <f>IFERROR(prop_paediatric_TB*nr_regions_m_s*nr_visits_regional_m_s*(nr_nat_staff_regional_m_s)*(airtime_mentorship),0)</f>
        <v>0</v>
      </c>
      <c r="E20" s="196">
        <f>IFERROR('4. Parameters'!D89*'4. Parameters'!D82*'4. Parameters'!D83*('4. Parameters'!D85)*(airtime_mentorship),0)</f>
        <v>0</v>
      </c>
      <c r="F20" s="196">
        <f>IFERROR('4. Parameters'!E89*'4. Parameters'!E82*'4. Parameters'!E83*('4. Parameters'!E85)*(airtime_mentorship),0)</f>
        <v>0</v>
      </c>
      <c r="G20" s="196">
        <f>IFERROR('4. Parameters'!F89*'4. Parameters'!F82*'4. Parameters'!F83*('4. Parameters'!F85)*(airtime_mentorship),0)</f>
        <v>0</v>
      </c>
      <c r="H20" s="196">
        <f>IFERROR('4. Parameters'!G89*'4. Parameters'!G82*'4. Parameters'!G83*('4. Parameters'!G85)*(airtime_mentorship),0)</f>
        <v>0</v>
      </c>
      <c r="I20" s="196">
        <f>IFERROR('4. Parameters'!H89*'4. Parameters'!H82*'4. Parameters'!H83*('4. Parameters'!H85)*(airtime_mentorship),0)</f>
        <v>0</v>
      </c>
      <c r="J20" s="196">
        <f>IFERROR('4. Parameters'!I89*'4. Parameters'!I82*'4. Parameters'!I83*('4. Parameters'!I85)*(airtime_mentorship),0)</f>
        <v>0</v>
      </c>
      <c r="K20" s="196">
        <f>IFERROR('4. Parameters'!J89*'4. Parameters'!J82*'4. Parameters'!J83*('4. Parameters'!J85)*(airtime_mentorship),0)</f>
        <v>0</v>
      </c>
      <c r="L20" s="196">
        <f>IFERROR('4. Parameters'!K89*'4. Parameters'!K82*'4. Parameters'!K83*('4. Parameters'!K85)*(airtime_mentorship),0)</f>
        <v>0</v>
      </c>
      <c r="M20" s="196">
        <f>IFERROR('4. Parameters'!L89*'4. Parameters'!L82*'4. Parameters'!L83*('4. Parameters'!L85)*(airtime_mentorship),0)</f>
        <v>0</v>
      </c>
    </row>
    <row r="21" spans="1:13">
      <c r="B21" s="29" t="s">
        <v>257</v>
      </c>
      <c r="D21" s="202">
        <f>SUM(D12:D20)</f>
        <v>0</v>
      </c>
      <c r="E21" s="202">
        <f t="shared" ref="E21:M21" si="2">SUM(E12:E20)</f>
        <v>0</v>
      </c>
      <c r="F21" s="202">
        <f t="shared" si="2"/>
        <v>0</v>
      </c>
      <c r="G21" s="202">
        <f t="shared" si="2"/>
        <v>0</v>
      </c>
      <c r="H21" s="202">
        <f t="shared" si="2"/>
        <v>0</v>
      </c>
      <c r="I21" s="202">
        <f t="shared" si="2"/>
        <v>0</v>
      </c>
      <c r="J21" s="202">
        <f t="shared" si="2"/>
        <v>0</v>
      </c>
      <c r="K21" s="202">
        <f t="shared" si="2"/>
        <v>0</v>
      </c>
      <c r="L21" s="202">
        <f t="shared" si="2"/>
        <v>0</v>
      </c>
      <c r="M21" s="202">
        <f t="shared" si="2"/>
        <v>0</v>
      </c>
    </row>
    <row r="22" spans="1:13">
      <c r="B22" s="27"/>
      <c r="D22" s="32"/>
      <c r="E22" s="32"/>
      <c r="F22" s="32"/>
      <c r="G22" s="32"/>
      <c r="H22" s="32"/>
      <c r="I22" s="32"/>
      <c r="J22" s="32"/>
      <c r="K22" s="32"/>
      <c r="L22" s="32"/>
      <c r="M22" s="32"/>
    </row>
    <row r="23" spans="1:13">
      <c r="A23" s="25"/>
      <c r="B23" s="25" t="s">
        <v>263</v>
      </c>
    </row>
    <row r="24" spans="1:13">
      <c r="A24" s="25"/>
      <c r="B24" s="29" t="s">
        <v>258</v>
      </c>
      <c r="D24" s="195">
        <f>IFERROR(prop_paed_TB_district*nr_districts_district_m_s*nr_visits_district_m_s*nr_days_district_m_s*nr_nat_staff_district_m_s*per_diem_regional,0)</f>
        <v>0</v>
      </c>
      <c r="E24" s="195">
        <f>IFERROR('4. Parameters'!D100*'4. Parameters'!D93*'4. Parameters'!D94*'4. Parameters'!D95*'4. Parameters'!D96*per_diem_regional,0)</f>
        <v>0</v>
      </c>
      <c r="F24" s="195">
        <f>IFERROR('4. Parameters'!E100*'4. Parameters'!E93*'4. Parameters'!E94*'4. Parameters'!E95*'4. Parameters'!E96*per_diem_regional,0)</f>
        <v>0</v>
      </c>
      <c r="G24" s="195">
        <f>IFERROR('4. Parameters'!F100*'4. Parameters'!F93*'4. Parameters'!F94*'4. Parameters'!F95*'4. Parameters'!F96*per_diem_regional,0)</f>
        <v>0</v>
      </c>
      <c r="H24" s="195">
        <f>IFERROR('4. Parameters'!G100*'4. Parameters'!G93*'4. Parameters'!G94*'4. Parameters'!G95*'4. Parameters'!G96*per_diem_regional,0)</f>
        <v>0</v>
      </c>
      <c r="I24" s="195">
        <f>IFERROR('4. Parameters'!H100*'4. Parameters'!H93*'4. Parameters'!H94*'4. Parameters'!H95*'4. Parameters'!H96*per_diem_regional,0)</f>
        <v>0</v>
      </c>
      <c r="J24" s="195">
        <f>IFERROR('4. Parameters'!I100*'4. Parameters'!I93*'4. Parameters'!I94*'4. Parameters'!I95*'4. Parameters'!I96*per_diem_regional,0)</f>
        <v>0</v>
      </c>
      <c r="K24" s="195">
        <f>IFERROR('4. Parameters'!J100*'4. Parameters'!J93*'4. Parameters'!J94*'4. Parameters'!J95*'4. Parameters'!J96*per_diem_regional,0)</f>
        <v>0</v>
      </c>
      <c r="L24" s="195">
        <f>IFERROR('4. Parameters'!K100*'4. Parameters'!K93*'4. Parameters'!K94*'4. Parameters'!K95*'4. Parameters'!K96*per_diem_regional,0)</f>
        <v>0</v>
      </c>
      <c r="M24" s="195">
        <f>IFERROR('4. Parameters'!L100*'4. Parameters'!L93*'4. Parameters'!L94*'4. Parameters'!L95*'4. Parameters'!L96*per_diem_regional,0)</f>
        <v>0</v>
      </c>
    </row>
    <row r="25" spans="1:13">
      <c r="A25" s="25"/>
      <c r="B25" s="27" t="s">
        <v>254</v>
      </c>
      <c r="D25" s="196">
        <f>IFERROR(prop_paed_TB_district*nr_districts_district_m_s*nr_visits_district_m_s*nr_days_district_m_s*nr_nat_staff_district_m_s*per_diem_MoH_other,0)</f>
        <v>0</v>
      </c>
      <c r="E25" s="196">
        <f>IFERROR('4. Parameters'!D100*'4. Parameters'!D93*'4. Parameters'!D94*'4. Parameters'!D95*'4. Parameters'!D96*per_diem_MoH_other,0)</f>
        <v>0</v>
      </c>
      <c r="F25" s="196">
        <f>IFERROR('4. Parameters'!E100*'4. Parameters'!E93*'4. Parameters'!E94*'4. Parameters'!E95*'4. Parameters'!E96*per_diem_MoH_other,0)</f>
        <v>0</v>
      </c>
      <c r="G25" s="196">
        <f>IFERROR('4. Parameters'!F100*'4. Parameters'!F93*'4. Parameters'!F94*'4. Parameters'!F95*'4. Parameters'!F96*per_diem_MoH_other,0)</f>
        <v>0</v>
      </c>
      <c r="H25" s="196">
        <f>IFERROR('4. Parameters'!G100*'4. Parameters'!G93*'4. Parameters'!G94*'4. Parameters'!G95*'4. Parameters'!G96*per_diem_MoH_other,0)</f>
        <v>0</v>
      </c>
      <c r="I25" s="196">
        <f>IFERROR('4. Parameters'!H100*'4. Parameters'!H93*'4. Parameters'!H94*'4. Parameters'!H95*'4. Parameters'!H96*per_diem_MoH_other,0)</f>
        <v>0</v>
      </c>
      <c r="J25" s="196">
        <f>IFERROR('4. Parameters'!I100*'4. Parameters'!I93*'4. Parameters'!I94*'4. Parameters'!I95*'4. Parameters'!I96*per_diem_MoH_other,0)</f>
        <v>0</v>
      </c>
      <c r="K25" s="196">
        <f>IFERROR('4. Parameters'!J100*'4. Parameters'!J93*'4. Parameters'!J94*'4. Parameters'!J95*'4. Parameters'!J96*per_diem_MoH_other,0)</f>
        <v>0</v>
      </c>
      <c r="L25" s="196">
        <f>IFERROR('4. Parameters'!K100*'4. Parameters'!K93*'4. Parameters'!K94*'4. Parameters'!K95*'4. Parameters'!K96*per_diem_MoH_other,0)</f>
        <v>0</v>
      </c>
      <c r="M25" s="196">
        <f>IFERROR('4. Parameters'!L100*'4. Parameters'!L93*'4. Parameters'!L94*'4. Parameters'!L95*'4. Parameters'!L96*per_diem_MoH_other,0)</f>
        <v>0</v>
      </c>
    </row>
    <row r="26" spans="1:13">
      <c r="A26" s="25"/>
      <c r="B26" s="27" t="s">
        <v>77</v>
      </c>
      <c r="D26" s="196">
        <f>IFERROR(prop_paed_TB_district*nr_districts_district_m_s*nr_visits_district_m_s*nr_days_district_m_s*(nr_nat_staff_district_m_s+nr_supp_staff_district_m_s)*transport_mentorship_district,0)</f>
        <v>0</v>
      </c>
      <c r="E26" s="196">
        <f>IFERROR('4. Parameters'!D100*'4. Parameters'!D93*'4. Parameters'!D94*'4. Parameters'!D95*('4. Parameters'!D96+'4. Parameters'!D97)*transport_mentorship_district,0)</f>
        <v>0</v>
      </c>
      <c r="F26" s="196">
        <f>IFERROR('4. Parameters'!E100*'4. Parameters'!E93*'4. Parameters'!E94*'4. Parameters'!E95*('4. Parameters'!E96+'4. Parameters'!E97)*transport_mentorship_district,0)</f>
        <v>0</v>
      </c>
      <c r="G26" s="196">
        <f>IFERROR('4. Parameters'!F100*'4. Parameters'!F93*'4. Parameters'!F94*'4. Parameters'!F95*('4. Parameters'!F96+'4. Parameters'!F97)*transport_mentorship_district,0)</f>
        <v>0</v>
      </c>
      <c r="H26" s="196">
        <f>IFERROR('4. Parameters'!G100*'4. Parameters'!G93*'4. Parameters'!G94*'4. Parameters'!G95*('4. Parameters'!G96+'4. Parameters'!G97)*transport_mentorship_district,0)</f>
        <v>0</v>
      </c>
      <c r="I26" s="196">
        <f>IFERROR('4. Parameters'!H100*'4. Parameters'!H93*'4. Parameters'!H94*'4. Parameters'!H95*('4. Parameters'!H96+'4. Parameters'!H97)*transport_mentorship_district,0)</f>
        <v>0</v>
      </c>
      <c r="J26" s="196">
        <f>IFERROR('4. Parameters'!I100*'4. Parameters'!I93*'4. Parameters'!I94*'4. Parameters'!I95*('4. Parameters'!I96+'4. Parameters'!I97)*transport_mentorship_district,0)</f>
        <v>0</v>
      </c>
      <c r="K26" s="196">
        <f>IFERROR('4. Parameters'!J100*'4. Parameters'!J93*'4. Parameters'!J94*'4. Parameters'!J95*('4. Parameters'!J96+'4. Parameters'!J97)*transport_mentorship_district,0)</f>
        <v>0</v>
      </c>
      <c r="L26" s="196">
        <f>IFERROR('4. Parameters'!K100*'4. Parameters'!K93*'4. Parameters'!K94*'4. Parameters'!K95*('4. Parameters'!K96+'4. Parameters'!K97)*transport_mentorship_district,0)</f>
        <v>0</v>
      </c>
      <c r="M26" s="196">
        <f>IFERROR('4. Parameters'!L100*'4. Parameters'!L93*'4. Parameters'!L94*'4. Parameters'!L95*('4. Parameters'!L96+'4. Parameters'!L97)*transport_mentorship_district,0)</f>
        <v>0</v>
      </c>
    </row>
    <row r="27" spans="1:13">
      <c r="A27" s="25"/>
      <c r="B27" s="27" t="s">
        <v>255</v>
      </c>
      <c r="D27" s="196">
        <f>IFERROR(prop_paed_TB_district*nr_districts_district_m_s*nr_visits_district_m_s*nr_staff_air_trans_district_m_s*airfare_mentorship,0)</f>
        <v>0</v>
      </c>
      <c r="E27" s="196">
        <f>IFERROR('4. Parameters'!D100*'4. Parameters'!D93*'4. Parameters'!D94*'4. Parameters'!D100*airfare_mentorship,0)</f>
        <v>0</v>
      </c>
      <c r="F27" s="196">
        <f>IFERROR('4. Parameters'!E100*'4. Parameters'!E93*'4. Parameters'!E94*'4. Parameters'!E100*airfare_mentorship,0)</f>
        <v>0</v>
      </c>
      <c r="G27" s="196">
        <f>IFERROR('4. Parameters'!F100*'4. Parameters'!F93*'4. Parameters'!F94*'4. Parameters'!F100*airfare_mentorship,0)</f>
        <v>0</v>
      </c>
      <c r="H27" s="196">
        <f>IFERROR('4. Parameters'!G100*'4. Parameters'!G93*'4. Parameters'!G94*'4. Parameters'!G100*airfare_mentorship,0)</f>
        <v>0</v>
      </c>
      <c r="I27" s="196">
        <f>IFERROR('4. Parameters'!H100*'4. Parameters'!H93*'4. Parameters'!H94*'4. Parameters'!H100*airfare_mentorship,0)</f>
        <v>0</v>
      </c>
      <c r="J27" s="196">
        <f>IFERROR('4. Parameters'!I100*'4. Parameters'!I93*'4. Parameters'!I94*'4. Parameters'!I100*airfare_mentorship,0)</f>
        <v>0</v>
      </c>
      <c r="K27" s="196">
        <f>IFERROR('4. Parameters'!J100*'4. Parameters'!J93*'4. Parameters'!J94*'4. Parameters'!J100*airfare_mentorship,0)</f>
        <v>0</v>
      </c>
      <c r="L27" s="196">
        <f>IFERROR('4. Parameters'!K100*'4. Parameters'!K93*'4. Parameters'!K94*'4. Parameters'!K100*airfare_mentorship,0)</f>
        <v>0</v>
      </c>
      <c r="M27" s="196">
        <f>IFERROR('4. Parameters'!L100*'4. Parameters'!L93*'4. Parameters'!L94*'4. Parameters'!L100*airfare_mentorship,0)</f>
        <v>0</v>
      </c>
    </row>
    <row r="28" spans="1:13">
      <c r="A28" s="25"/>
      <c r="B28" s="24" t="s">
        <v>89</v>
      </c>
      <c r="D28" s="196">
        <f>IFERROR(prop_paed_TB_district*nr_districts_district_m_s*nr_visits_district_m_s*nr_days_district_m_s*(nr_nat_staff_district_m_s+nr_supp_staff_district_m_s)*hotel_mentorship,0)</f>
        <v>0</v>
      </c>
      <c r="E28" s="196">
        <f>IFERROR('4. Parameters'!D100*'4. Parameters'!D93*'4. Parameters'!D94*'4. Parameters'!D95*('4. Parameters'!D96+'4. Parameters'!D97)*hotel_mentorship,0)</f>
        <v>0</v>
      </c>
      <c r="F28" s="196">
        <f>IFERROR('4. Parameters'!E100*'4. Parameters'!E93*'4. Parameters'!E94*'4. Parameters'!E95*('4. Parameters'!E96+'4. Parameters'!E97)*hotel_mentorship,0)</f>
        <v>0</v>
      </c>
      <c r="G28" s="196">
        <f>IFERROR('4. Parameters'!F100*'4. Parameters'!F93*'4. Parameters'!F94*'4. Parameters'!F95*('4. Parameters'!F96+'4. Parameters'!F97)*hotel_mentorship,0)</f>
        <v>0</v>
      </c>
      <c r="H28" s="196">
        <f>IFERROR('4. Parameters'!G100*'4. Parameters'!G93*'4. Parameters'!G94*'4. Parameters'!G95*('4. Parameters'!G96+'4. Parameters'!G97)*hotel_mentorship,0)</f>
        <v>0</v>
      </c>
      <c r="I28" s="196">
        <f>IFERROR('4. Parameters'!H100*'4. Parameters'!H93*'4. Parameters'!H94*'4. Parameters'!H95*('4. Parameters'!H96+'4. Parameters'!H97)*hotel_mentorship,0)</f>
        <v>0</v>
      </c>
      <c r="J28" s="196">
        <f>IFERROR('4. Parameters'!I100*'4. Parameters'!I93*'4. Parameters'!I94*'4. Parameters'!I95*('4. Parameters'!I96+'4. Parameters'!I97)*hotel_mentorship,0)</f>
        <v>0</v>
      </c>
      <c r="K28" s="196">
        <f>IFERROR('4. Parameters'!J100*'4. Parameters'!J93*'4. Parameters'!J94*'4. Parameters'!J95*('4. Parameters'!J96+'4. Parameters'!J97)*hotel_mentorship,0)</f>
        <v>0</v>
      </c>
      <c r="L28" s="196">
        <f>IFERROR('4. Parameters'!K100*'4. Parameters'!K93*'4. Parameters'!K94*'4. Parameters'!K95*('4. Parameters'!K96+'4. Parameters'!K97)*hotel_mentorship,0)</f>
        <v>0</v>
      </c>
      <c r="M28" s="196">
        <f>IFERROR('4. Parameters'!L100*'4. Parameters'!L93*'4. Parameters'!L94*'4. Parameters'!L95*('4. Parameters'!L96+'4. Parameters'!L97)*hotel_mentorship,0)</f>
        <v>0</v>
      </c>
    </row>
    <row r="29" spans="1:13">
      <c r="B29" s="24" t="s">
        <v>90</v>
      </c>
      <c r="D29" s="196">
        <f>IFERROR(prop_paed_TB_district*nr_districts_district_m_s*nr_visits_district_m_s*nr_days_district_m_s*(nr_nat_staff_district_m_s+nr_supp_staff_district_m_s)*(lunch_mentorship+refreshments_mentorship),0)</f>
        <v>0</v>
      </c>
      <c r="E29" s="196">
        <f>IFERROR('4. Parameters'!D100*'4. Parameters'!D93*'4. Parameters'!D94*'4. Parameters'!D95*('4. Parameters'!D96+'4. Parameters'!D97)*(lunch_mentorship+refreshments_mentorship),0)</f>
        <v>0</v>
      </c>
      <c r="F29" s="196">
        <f>IFERROR('4. Parameters'!E100*'4. Parameters'!E93*'4. Parameters'!E94*'4. Parameters'!E95*('4. Parameters'!E96+'4. Parameters'!E97)*(lunch_mentorship+refreshments_mentorship),0)</f>
        <v>0</v>
      </c>
      <c r="G29" s="196">
        <f>IFERROR('4. Parameters'!F100*'4. Parameters'!F93*'4. Parameters'!F94*'4. Parameters'!F95*('4. Parameters'!F96+'4. Parameters'!F97)*(lunch_mentorship+refreshments_mentorship),0)</f>
        <v>0</v>
      </c>
      <c r="H29" s="196">
        <f>IFERROR('4. Parameters'!G100*'4. Parameters'!G93*'4. Parameters'!G94*'4. Parameters'!G95*('4. Parameters'!G96+'4. Parameters'!G97)*(lunch_mentorship+refreshments_mentorship),0)</f>
        <v>0</v>
      </c>
      <c r="I29" s="196">
        <f>IFERROR('4. Parameters'!H100*'4. Parameters'!H93*'4. Parameters'!H94*'4. Parameters'!H95*('4. Parameters'!H96+'4. Parameters'!H97)*(lunch_mentorship+refreshments_mentorship),0)</f>
        <v>0</v>
      </c>
      <c r="J29" s="196">
        <f>IFERROR('4. Parameters'!I100*'4. Parameters'!I93*'4. Parameters'!I94*'4. Parameters'!I95*('4. Parameters'!I96+'4. Parameters'!I97)*(lunch_mentorship+refreshments_mentorship),0)</f>
        <v>0</v>
      </c>
      <c r="K29" s="196">
        <f>IFERROR('4. Parameters'!J100*'4. Parameters'!J93*'4. Parameters'!J94*'4. Parameters'!J95*('4. Parameters'!J96+'4. Parameters'!J97)*(lunch_mentorship+refreshments_mentorship),0)</f>
        <v>0</v>
      </c>
      <c r="L29" s="196">
        <f>IFERROR('4. Parameters'!K100*'4. Parameters'!K93*'4. Parameters'!K94*'4. Parameters'!K95*('4. Parameters'!K96+'4. Parameters'!K97)*(lunch_mentorship+refreshments_mentorship),0)</f>
        <v>0</v>
      </c>
      <c r="M29" s="196">
        <f>IFERROR('4. Parameters'!L100*'4. Parameters'!L93*'4. Parameters'!L94*'4. Parameters'!L95*('4. Parameters'!L96+'4. Parameters'!L97)*(lunch_mentorship+refreshments_mentorship),0)</f>
        <v>0</v>
      </c>
    </row>
    <row r="30" spans="1:13">
      <c r="B30" s="24" t="s">
        <v>68</v>
      </c>
      <c r="D30" s="196">
        <f>IFERROR(prop_paed_TB_district*nr_districts_district_m_s*nr_visits_district_m_s*(stationary_mentorship),0)</f>
        <v>0</v>
      </c>
      <c r="E30" s="196">
        <f>IFERROR('4. Parameters'!D100*'4. Parameters'!D93*'4. Parameters'!D94*(stationary_mentorship),0)</f>
        <v>0</v>
      </c>
      <c r="F30" s="196">
        <f>IFERROR('4. Parameters'!E100*'4. Parameters'!E93*'4. Parameters'!E94*(stationary_mentorship),0)</f>
        <v>0</v>
      </c>
      <c r="G30" s="196">
        <f>IFERROR('4. Parameters'!F100*'4. Parameters'!F93*'4. Parameters'!F94*(stationary_mentorship),0)</f>
        <v>0</v>
      </c>
      <c r="H30" s="196">
        <f>IFERROR('4. Parameters'!G100*'4. Parameters'!G93*'4. Parameters'!G94*(stationary_mentorship),0)</f>
        <v>0</v>
      </c>
      <c r="I30" s="196">
        <f>IFERROR('4. Parameters'!H100*'4. Parameters'!H93*'4. Parameters'!H94*(stationary_mentorship),0)</f>
        <v>0</v>
      </c>
      <c r="J30" s="196">
        <f>IFERROR('4. Parameters'!I100*'4. Parameters'!I93*'4. Parameters'!I94*(stationary_mentorship),0)</f>
        <v>0</v>
      </c>
      <c r="K30" s="196">
        <f>IFERROR('4. Parameters'!J100*'4. Parameters'!J93*'4. Parameters'!J94*(stationary_mentorship),0)</f>
        <v>0</v>
      </c>
      <c r="L30" s="196">
        <f>IFERROR('4. Parameters'!K100*'4. Parameters'!K93*'4. Parameters'!K94*(stationary_mentorship),0)</f>
        <v>0</v>
      </c>
      <c r="M30" s="196">
        <f>IFERROR('4. Parameters'!L100*'4. Parameters'!L93*'4. Parameters'!L94*(stationary_mentorship),0)</f>
        <v>0</v>
      </c>
    </row>
    <row r="31" spans="1:13">
      <c r="B31" s="24" t="s">
        <v>47</v>
      </c>
      <c r="D31" s="196">
        <f>IFERROR(prop_paed_TB_district*nr_districts_district_m_s*nr_visits_district_m_s*(nr_nat_staff_district_m_s)*(airtime_mentorship),0)</f>
        <v>0</v>
      </c>
      <c r="E31" s="196">
        <f>IFERROR('4. Parameters'!D100*'4. Parameters'!D93*'4. Parameters'!D94*('4. Parameters'!D96)*(airtime_mentorship),0)</f>
        <v>0</v>
      </c>
      <c r="F31" s="196">
        <f>IFERROR('4. Parameters'!E100*'4. Parameters'!E93*'4. Parameters'!E94*('4. Parameters'!E96)*(airtime_mentorship),0)</f>
        <v>0</v>
      </c>
      <c r="G31" s="196">
        <f>IFERROR('4. Parameters'!F100*'4. Parameters'!F93*'4. Parameters'!F94*('4. Parameters'!F96)*(airtime_mentorship),0)</f>
        <v>0</v>
      </c>
      <c r="H31" s="196">
        <f>IFERROR('4. Parameters'!G100*'4. Parameters'!G93*'4. Parameters'!G94*('4. Parameters'!G96)*(airtime_mentorship),0)</f>
        <v>0</v>
      </c>
      <c r="I31" s="196">
        <f>IFERROR('4. Parameters'!H100*'4. Parameters'!H93*'4. Parameters'!H94*('4. Parameters'!H96)*(airtime_mentorship),0)</f>
        <v>0</v>
      </c>
      <c r="J31" s="196">
        <f>IFERROR('4. Parameters'!I100*'4. Parameters'!I93*'4. Parameters'!I94*('4. Parameters'!I96)*(airtime_mentorship),0)</f>
        <v>0</v>
      </c>
      <c r="K31" s="196">
        <f>IFERROR('4. Parameters'!J100*'4. Parameters'!J93*'4. Parameters'!J94*('4. Parameters'!J96)*(airtime_mentorship),0)</f>
        <v>0</v>
      </c>
      <c r="L31" s="196">
        <f>IFERROR('4. Parameters'!K100*'4. Parameters'!K93*'4. Parameters'!K94*('4. Parameters'!K96)*(airtime_mentorship),0)</f>
        <v>0</v>
      </c>
      <c r="M31" s="196">
        <f>IFERROR('4. Parameters'!L100*'4. Parameters'!L93*'4. Parameters'!L94*('4. Parameters'!L96)*(airtime_mentorship),0)</f>
        <v>0</v>
      </c>
    </row>
    <row r="32" spans="1:13">
      <c r="B32" s="29" t="s">
        <v>267</v>
      </c>
      <c r="D32" s="202">
        <f>SUM(D24:D31)</f>
        <v>0</v>
      </c>
      <c r="E32" s="202">
        <f t="shared" ref="E32" si="3">SUM(E24:E31)</f>
        <v>0</v>
      </c>
      <c r="F32" s="202">
        <f t="shared" ref="F32" si="4">SUM(F24:F31)</f>
        <v>0</v>
      </c>
      <c r="G32" s="202">
        <f t="shared" ref="G32" si="5">SUM(G24:G31)</f>
        <v>0</v>
      </c>
      <c r="H32" s="202">
        <f t="shared" ref="H32" si="6">SUM(H24:H31)</f>
        <v>0</v>
      </c>
      <c r="I32" s="202">
        <f t="shared" ref="I32" si="7">SUM(I24:I31)</f>
        <v>0</v>
      </c>
      <c r="J32" s="202">
        <f t="shared" ref="J32" si="8">SUM(J24:J31)</f>
        <v>0</v>
      </c>
      <c r="K32" s="202">
        <f t="shared" ref="K32" si="9">SUM(K24:K31)</f>
        <v>0</v>
      </c>
      <c r="L32" s="202">
        <f t="shared" ref="L32" si="10">SUM(L24:L31)</f>
        <v>0</v>
      </c>
      <c r="M32" s="202">
        <f t="shared" ref="M32" si="11">SUM(M24:M31)</f>
        <v>0</v>
      </c>
    </row>
    <row r="34" spans="1:13">
      <c r="A34" s="25"/>
      <c r="B34" s="25" t="s">
        <v>264</v>
      </c>
    </row>
    <row r="35" spans="1:13">
      <c r="A35" s="25"/>
      <c r="B35" s="29" t="s">
        <v>256</v>
      </c>
      <c r="D35" s="195">
        <f>IFERROR(prop_paed_TB_facility*nr_districts_facility_m_s*nr_facilities_m_s*nr_visits_facility_m_s*nr_days_facility_m_s*nr_district_staff_facility_m_s*per_diem_district,0)</f>
        <v>0</v>
      </c>
      <c r="E35" s="195">
        <f>IFERROR('4. Parameters'!D111*'4. Parameters'!D104*'4. Parameters'!D105*'4. Parameters'!D106*'4. Parameters'!D107*'4. Parameters'!D108*per_diem_district,0)</f>
        <v>0</v>
      </c>
      <c r="F35" s="195">
        <f>IFERROR('4. Parameters'!E111*'4. Parameters'!E104*'4. Parameters'!E105*'4. Parameters'!E106*'4. Parameters'!E107*'4. Parameters'!E108*per_diem_district,0)</f>
        <v>0</v>
      </c>
      <c r="G35" s="195">
        <f>IFERROR('4. Parameters'!F111*'4. Parameters'!F104*'4. Parameters'!F105*'4. Parameters'!F106*'4. Parameters'!F107*'4. Parameters'!F108*per_diem_district,0)</f>
        <v>0</v>
      </c>
      <c r="H35" s="195">
        <f>IFERROR('4. Parameters'!G111*'4. Parameters'!G104*'4. Parameters'!G105*'4. Parameters'!G106*'4. Parameters'!G107*'4. Parameters'!G108*per_diem_district,0)</f>
        <v>0</v>
      </c>
      <c r="I35" s="195">
        <f>IFERROR('4. Parameters'!H111*'4. Parameters'!H104*'4. Parameters'!H105*'4. Parameters'!H106*'4. Parameters'!H107*'4. Parameters'!H108*per_diem_district,0)</f>
        <v>0</v>
      </c>
      <c r="J35" s="195">
        <f>IFERROR('4. Parameters'!I111*'4. Parameters'!I104*'4. Parameters'!I105*'4. Parameters'!I106*'4. Parameters'!I107*'4. Parameters'!I108*per_diem_district,0)</f>
        <v>0</v>
      </c>
      <c r="K35" s="195">
        <f>IFERROR('4. Parameters'!J111*'4. Parameters'!J104*'4. Parameters'!J105*'4. Parameters'!J106*'4. Parameters'!J107*'4. Parameters'!J108*per_diem_district,0)</f>
        <v>0</v>
      </c>
      <c r="L35" s="195">
        <f>IFERROR('4. Parameters'!K111*'4. Parameters'!K104*'4. Parameters'!K105*'4. Parameters'!K106*'4. Parameters'!K107*'4. Parameters'!K108*per_diem_district,0)</f>
        <v>0</v>
      </c>
      <c r="M35" s="195">
        <f>IFERROR('4. Parameters'!L111*'4. Parameters'!L104*'4. Parameters'!L105*'4. Parameters'!L106*'4. Parameters'!L107*'4. Parameters'!L108*per_diem_district,0)</f>
        <v>0</v>
      </c>
    </row>
    <row r="36" spans="1:13">
      <c r="A36" s="25"/>
      <c r="B36" s="27" t="s">
        <v>254</v>
      </c>
      <c r="D36" s="196">
        <f>IFERROR(prop_paed_TB_facility*nr_districts_facility_m_s*nr_facilities_m_s*nr_visits_facility_m_s*nr_days_facility_m_s*nr_district_staff_facility_m_s*per_diem_MoH_other,0)</f>
        <v>0</v>
      </c>
      <c r="E36" s="196">
        <f>IFERROR('4. Parameters'!D111*'4. Parameters'!D104*'4. Parameters'!D105*'4. Parameters'!D106*'4. Parameters'!D107*'4. Parameters'!D108*per_diem_MoH_other,0)</f>
        <v>0</v>
      </c>
      <c r="F36" s="196">
        <f>IFERROR('4. Parameters'!E111*'4. Parameters'!E104*'4. Parameters'!E105*'4. Parameters'!E106*'4. Parameters'!E107*'4. Parameters'!E108*per_diem_MoH_other,0)</f>
        <v>0</v>
      </c>
      <c r="G36" s="196">
        <f>IFERROR('4. Parameters'!F111*'4. Parameters'!F104*'4. Parameters'!F105*'4. Parameters'!F106*'4. Parameters'!F107*'4. Parameters'!F108*per_diem_MoH_other,0)</f>
        <v>0</v>
      </c>
      <c r="H36" s="196">
        <f>IFERROR('4. Parameters'!G111*'4. Parameters'!G104*'4. Parameters'!G105*'4. Parameters'!G106*'4. Parameters'!G107*'4. Parameters'!G108*per_diem_MoH_other,0)</f>
        <v>0</v>
      </c>
      <c r="I36" s="196">
        <f>IFERROR('4. Parameters'!H111*'4. Parameters'!H104*'4. Parameters'!H105*'4. Parameters'!H106*'4. Parameters'!H107*'4. Parameters'!H108*per_diem_MoH_other,0)</f>
        <v>0</v>
      </c>
      <c r="J36" s="196">
        <f>IFERROR('4. Parameters'!I111*'4. Parameters'!I104*'4. Parameters'!I105*'4. Parameters'!I106*'4. Parameters'!I107*'4. Parameters'!I108*per_diem_MoH_other,0)</f>
        <v>0</v>
      </c>
      <c r="K36" s="196">
        <f>IFERROR('4. Parameters'!J111*'4. Parameters'!J104*'4. Parameters'!J105*'4. Parameters'!J106*'4. Parameters'!J107*'4. Parameters'!J108*per_diem_MoH_other,0)</f>
        <v>0</v>
      </c>
      <c r="L36" s="196">
        <f>IFERROR('4. Parameters'!K111*'4. Parameters'!K104*'4. Parameters'!K105*'4. Parameters'!K106*'4. Parameters'!K107*'4. Parameters'!K108*per_diem_MoH_other,0)</f>
        <v>0</v>
      </c>
      <c r="M36" s="196">
        <f>IFERROR('4. Parameters'!L111*'4. Parameters'!L104*'4. Parameters'!L105*'4. Parameters'!L106*'4. Parameters'!L107*'4. Parameters'!L108*per_diem_MoH_other,0)</f>
        <v>0</v>
      </c>
    </row>
    <row r="37" spans="1:13">
      <c r="A37" s="25"/>
      <c r="B37" s="27" t="s">
        <v>77</v>
      </c>
      <c r="D37" s="196">
        <f>IFERROR(prop_paed_TB_facility*nr_districts_facility_m_s*nr_facilities_m_s*nr_visits_facility_m_s*nr_days_facility_m_s*(nr_district_staff_facility_m_s+nr_supp_staff_facility_m_s)*transport_mentorship_facility,0)</f>
        <v>0</v>
      </c>
      <c r="E37" s="196">
        <f>IFERROR('4. Parameters'!D111*'4. Parameters'!D104*'4. Parameters'!D105*'4. Parameters'!D106*'4. Parameters'!D107*('4. Parameters'!D108+'4. Parameters'!D109)*transport_mentorship_facility,0)</f>
        <v>0</v>
      </c>
      <c r="F37" s="196">
        <f>IFERROR('4. Parameters'!E111*'4. Parameters'!E104*'4. Parameters'!E105*'4. Parameters'!E106*'4. Parameters'!E107*('4. Parameters'!E108+'4. Parameters'!E109)*transport_mentorship_facility,0)</f>
        <v>0</v>
      </c>
      <c r="G37" s="196">
        <f>IFERROR('4. Parameters'!F111*'4. Parameters'!F104*'4. Parameters'!F105*'4. Parameters'!F106*'4. Parameters'!F107*('4. Parameters'!F108+'4. Parameters'!F109)*transport_mentorship_facility,0)</f>
        <v>0</v>
      </c>
      <c r="H37" s="196">
        <f>IFERROR('4. Parameters'!G111*'4. Parameters'!G104*'4. Parameters'!G105*'4. Parameters'!G106*'4. Parameters'!G107*('4. Parameters'!G108+'4. Parameters'!G109)*transport_mentorship_facility,0)</f>
        <v>0</v>
      </c>
      <c r="I37" s="196">
        <f>IFERROR('4. Parameters'!H111*'4. Parameters'!H104*'4. Parameters'!H105*'4. Parameters'!H106*'4. Parameters'!H107*('4. Parameters'!H108+'4. Parameters'!H109)*transport_mentorship_facility,0)</f>
        <v>0</v>
      </c>
      <c r="J37" s="196">
        <f>IFERROR('4. Parameters'!I111*'4. Parameters'!I104*'4. Parameters'!I105*'4. Parameters'!I106*'4. Parameters'!I107*('4. Parameters'!I108+'4. Parameters'!I109)*transport_mentorship_facility,0)</f>
        <v>0</v>
      </c>
      <c r="K37" s="196">
        <f>IFERROR('4. Parameters'!J111*'4. Parameters'!J104*'4. Parameters'!J105*'4. Parameters'!J106*'4. Parameters'!J107*('4. Parameters'!J108+'4. Parameters'!J109)*transport_mentorship_facility,0)</f>
        <v>0</v>
      </c>
      <c r="L37" s="196">
        <f>IFERROR('4. Parameters'!K111*'4. Parameters'!K104*'4. Parameters'!K105*'4. Parameters'!K106*'4. Parameters'!K107*('4. Parameters'!K108+'4. Parameters'!K109)*transport_mentorship_facility,0)</f>
        <v>0</v>
      </c>
      <c r="M37" s="196">
        <f>IFERROR('4. Parameters'!L111*'4. Parameters'!L104*'4. Parameters'!L105*'4. Parameters'!L106*'4. Parameters'!L107*('4. Parameters'!L108+'4. Parameters'!L109)*transport_mentorship_facility,0)</f>
        <v>0</v>
      </c>
    </row>
    <row r="38" spans="1:13">
      <c r="A38" s="25"/>
      <c r="B38" s="27" t="s">
        <v>255</v>
      </c>
      <c r="D38" s="196">
        <f>IFERROR(prop_paed_TB_facility*nr_districts_facility_m_s*nr_facilities_m_s*nr_visits_facility_m_s*'4. Parameters'!B112*airfare_mentorship,0)</f>
        <v>0</v>
      </c>
      <c r="E38" s="196">
        <f>IFERROR('4. Parameters'!D111*'4. Parameters'!D104*'4. Parameters'!D105*'4. Parameters'!D106*'4. Parameters'!C112*airfare_mentorship,0)</f>
        <v>0</v>
      </c>
      <c r="F38" s="196">
        <f>IFERROR('4. Parameters'!E111*'4. Parameters'!E104*'4. Parameters'!E105*'4. Parameters'!E106*'4. Parameters'!D112*airfare_mentorship,0)</f>
        <v>0</v>
      </c>
      <c r="G38" s="196">
        <f>IFERROR('4. Parameters'!F111*'4. Parameters'!F104*'4. Parameters'!F105*'4. Parameters'!F106*'4. Parameters'!E112*airfare_mentorship,0)</f>
        <v>0</v>
      </c>
      <c r="H38" s="196">
        <f>IFERROR('4. Parameters'!G111*'4. Parameters'!G104*'4. Parameters'!G105*'4. Parameters'!G106*'4. Parameters'!F112*airfare_mentorship,0)</f>
        <v>0</v>
      </c>
      <c r="I38" s="196">
        <f>IFERROR('4. Parameters'!H111*'4. Parameters'!H104*'4. Parameters'!H105*'4. Parameters'!H106*'4. Parameters'!G112*airfare_mentorship,0)</f>
        <v>0</v>
      </c>
      <c r="J38" s="196">
        <f>IFERROR('4. Parameters'!I111*'4. Parameters'!I104*'4. Parameters'!I105*'4. Parameters'!I106*'4. Parameters'!H112*airfare_mentorship,0)</f>
        <v>0</v>
      </c>
      <c r="K38" s="196">
        <f>IFERROR('4. Parameters'!J111*'4. Parameters'!J104*'4. Parameters'!J105*'4. Parameters'!J106*'4. Parameters'!I112*airfare_mentorship,0)</f>
        <v>0</v>
      </c>
      <c r="L38" s="196">
        <f>IFERROR('4. Parameters'!K111*'4. Parameters'!K104*'4. Parameters'!K105*'4. Parameters'!K106*'4. Parameters'!J112*airfare_mentorship,0)</f>
        <v>0</v>
      </c>
      <c r="M38" s="196">
        <f>IFERROR('4. Parameters'!L111*'4. Parameters'!L104*'4. Parameters'!L105*'4. Parameters'!L106*'4. Parameters'!K112*airfare_mentorship,0)</f>
        <v>0</v>
      </c>
    </row>
    <row r="39" spans="1:13">
      <c r="A39" s="25"/>
      <c r="B39" s="24" t="s">
        <v>89</v>
      </c>
      <c r="D39" s="196">
        <f>IFERROR(prop_paed_TB_facility*nr_districts_facility_m_s*nr_facilities_m_s*nr_visits_facility_m_s*nr_days_facility_m_s*(nr_district_staff_facility_m_s+nr_supp_staff_facility_m_s)*hotel_mentorship,0)</f>
        <v>0</v>
      </c>
      <c r="E39" s="196">
        <f>IFERROR('4. Parameters'!D111*'4. Parameters'!D104*'4. Parameters'!D105*'4. Parameters'!D106*'4. Parameters'!D107*('4. Parameters'!D108+'4. Parameters'!D109)*hotel_mentorship,0)</f>
        <v>0</v>
      </c>
      <c r="F39" s="196">
        <f>IFERROR('4. Parameters'!E111*'4. Parameters'!E104*'4. Parameters'!E105*'4. Parameters'!E106*'4. Parameters'!E107*('4. Parameters'!E108+'4. Parameters'!E109)*hotel_mentorship,0)</f>
        <v>0</v>
      </c>
      <c r="G39" s="196">
        <f>IFERROR('4. Parameters'!F111*'4. Parameters'!F104*'4. Parameters'!F105*'4. Parameters'!F106*'4. Parameters'!F107*('4. Parameters'!F108+'4. Parameters'!F109)*hotel_mentorship,0)</f>
        <v>0</v>
      </c>
      <c r="H39" s="196">
        <f>IFERROR('4. Parameters'!G111*'4. Parameters'!G104*'4. Parameters'!G105*'4. Parameters'!G106*'4. Parameters'!G107*('4. Parameters'!G108+'4. Parameters'!G109)*hotel_mentorship,0)</f>
        <v>0</v>
      </c>
      <c r="I39" s="196">
        <f>IFERROR('4. Parameters'!H111*'4. Parameters'!H104*'4. Parameters'!H105*'4. Parameters'!H106*'4. Parameters'!H107*('4. Parameters'!H108+'4. Parameters'!H109)*hotel_mentorship,0)</f>
        <v>0</v>
      </c>
      <c r="J39" s="196">
        <f>IFERROR('4. Parameters'!I111*'4. Parameters'!I104*'4. Parameters'!I105*'4. Parameters'!I106*'4. Parameters'!I107*('4. Parameters'!I108+'4. Parameters'!I109)*hotel_mentorship,0)</f>
        <v>0</v>
      </c>
      <c r="K39" s="196">
        <f>IFERROR('4. Parameters'!J111*'4. Parameters'!J104*'4. Parameters'!J105*'4. Parameters'!J106*'4. Parameters'!J107*('4. Parameters'!J108+'4. Parameters'!J109)*hotel_mentorship,0)</f>
        <v>0</v>
      </c>
      <c r="L39" s="196">
        <f>IFERROR('4. Parameters'!K111*'4. Parameters'!K104*'4. Parameters'!K105*'4. Parameters'!K106*'4. Parameters'!K107*('4. Parameters'!K108+'4. Parameters'!K109)*hotel_mentorship,0)</f>
        <v>0</v>
      </c>
      <c r="M39" s="196">
        <f>IFERROR('4. Parameters'!L111*'4. Parameters'!L104*'4. Parameters'!L105*'4. Parameters'!L106*'4. Parameters'!L107*('4. Parameters'!L108+'4. Parameters'!L109)*hotel_mentorship,0)</f>
        <v>0</v>
      </c>
    </row>
    <row r="40" spans="1:13">
      <c r="B40" s="24" t="s">
        <v>90</v>
      </c>
      <c r="D40" s="196">
        <f>IFERROR(prop_paed_TB_facility*nr_districts_facility_m_s*nr_facilities_m_s*nr_visits_facility_m_s*nr_days_facility_m_s*(nr_district_staff_facility_m_s+nr_supp_staff_facility_m_s)*(lunch_mentorship+refreshments_mentorship),0)</f>
        <v>0</v>
      </c>
      <c r="E40" s="196">
        <f>IFERROR('4. Parameters'!D111*'4. Parameters'!D104*'4. Parameters'!D105*'4. Parameters'!D106*'4. Parameters'!D107*('4. Parameters'!D108+'4. Parameters'!D109)*(lunch_mentorship+refreshments_mentorship),0)</f>
        <v>0</v>
      </c>
      <c r="F40" s="196">
        <f>IFERROR('4. Parameters'!E111*'4. Parameters'!E104*'4. Parameters'!E105*'4. Parameters'!E106*'4. Parameters'!E107*('4. Parameters'!E108+'4. Parameters'!E109)*(lunch_mentorship+refreshments_mentorship),0)</f>
        <v>0</v>
      </c>
      <c r="G40" s="196">
        <f>IFERROR('4. Parameters'!F111*'4. Parameters'!F104*'4. Parameters'!F105*'4. Parameters'!F106*'4. Parameters'!F107*('4. Parameters'!F108+'4. Parameters'!F109)*(lunch_mentorship+refreshments_mentorship),0)</f>
        <v>0</v>
      </c>
      <c r="H40" s="196">
        <f>IFERROR('4. Parameters'!G111*'4. Parameters'!G104*'4. Parameters'!G105*'4. Parameters'!G106*'4. Parameters'!G107*('4. Parameters'!G108+'4. Parameters'!G109)*(lunch_mentorship+refreshments_mentorship),0)</f>
        <v>0</v>
      </c>
      <c r="I40" s="196">
        <f>IFERROR('4. Parameters'!H111*'4. Parameters'!H104*'4. Parameters'!H105*'4. Parameters'!H106*'4. Parameters'!H107*('4. Parameters'!H108+'4. Parameters'!H109)*(lunch_mentorship+refreshments_mentorship),0)</f>
        <v>0</v>
      </c>
      <c r="J40" s="196">
        <f>IFERROR('4. Parameters'!I111*'4. Parameters'!I104*'4. Parameters'!I105*'4. Parameters'!I106*'4. Parameters'!I107*('4. Parameters'!I108+'4. Parameters'!I109)*(lunch_mentorship+refreshments_mentorship),0)</f>
        <v>0</v>
      </c>
      <c r="K40" s="196">
        <f>IFERROR('4. Parameters'!J111*'4. Parameters'!J104*'4. Parameters'!J105*'4. Parameters'!J106*'4. Parameters'!J107*('4. Parameters'!J108+'4. Parameters'!J109)*(lunch_mentorship+refreshments_mentorship),0)</f>
        <v>0</v>
      </c>
      <c r="L40" s="196">
        <f>IFERROR('4. Parameters'!K111*'4. Parameters'!K104*'4. Parameters'!K105*'4. Parameters'!K106*'4. Parameters'!K107*('4. Parameters'!K108+'4. Parameters'!K109)*(lunch_mentorship+refreshments_mentorship),0)</f>
        <v>0</v>
      </c>
      <c r="M40" s="196">
        <f>IFERROR('4. Parameters'!L111*'4. Parameters'!L104*'4. Parameters'!L105*'4. Parameters'!L106*'4. Parameters'!L107*('4. Parameters'!L108+'4. Parameters'!L109)*(lunch_mentorship+refreshments_mentorship),0)</f>
        <v>0</v>
      </c>
    </row>
    <row r="41" spans="1:13">
      <c r="B41" s="24" t="s">
        <v>68</v>
      </c>
      <c r="D41" s="196">
        <f>IFERROR(prop_paed_TB_facility*nr_districts_facility_m_s*nr_facilities_m_s*nr_visits_facility_m_s*(stationary_mentorship),0)</f>
        <v>0</v>
      </c>
      <c r="E41" s="196">
        <f>IFERROR('4. Parameters'!D111*'4. Parameters'!D104*'4. Parameters'!D105*'4. Parameters'!D106*(stationary_mentorship),0)</f>
        <v>0</v>
      </c>
      <c r="F41" s="196">
        <f>IFERROR('4. Parameters'!E111*'4. Parameters'!E104*'4. Parameters'!E105*'4. Parameters'!E106*(stationary_mentorship),0)</f>
        <v>0</v>
      </c>
      <c r="G41" s="196">
        <f>IFERROR('4. Parameters'!F111*'4. Parameters'!F104*'4. Parameters'!F105*'4. Parameters'!F106*(stationary_mentorship),0)</f>
        <v>0</v>
      </c>
      <c r="H41" s="196">
        <f>IFERROR('4. Parameters'!G111*'4. Parameters'!G104*'4. Parameters'!G105*'4. Parameters'!G106*(stationary_mentorship),0)</f>
        <v>0</v>
      </c>
      <c r="I41" s="196">
        <f>IFERROR('4. Parameters'!H111*'4. Parameters'!H104*'4. Parameters'!H105*'4. Parameters'!H106*(stationary_mentorship),0)</f>
        <v>0</v>
      </c>
      <c r="J41" s="196">
        <f>IFERROR('4. Parameters'!I111*'4. Parameters'!I104*'4. Parameters'!I105*'4. Parameters'!I106*(stationary_mentorship),0)</f>
        <v>0</v>
      </c>
      <c r="K41" s="196">
        <f>IFERROR('4. Parameters'!J111*'4. Parameters'!J104*'4. Parameters'!J105*'4. Parameters'!J106*(stationary_mentorship),0)</f>
        <v>0</v>
      </c>
      <c r="L41" s="196">
        <f>IFERROR('4. Parameters'!K111*'4. Parameters'!K104*'4. Parameters'!K105*'4. Parameters'!K106*(stationary_mentorship),0)</f>
        <v>0</v>
      </c>
      <c r="M41" s="196">
        <f>IFERROR('4. Parameters'!L111*'4. Parameters'!L104*'4. Parameters'!L105*'4. Parameters'!L106*(stationary_mentorship),0)</f>
        <v>0</v>
      </c>
    </row>
    <row r="42" spans="1:13">
      <c r="B42" s="24" t="s">
        <v>47</v>
      </c>
      <c r="D42" s="196">
        <f>IFERROR(prop_paed_TB_facility*nr_districts_facility_m_s*nr_facilities_m_s*nr_visits_facility_m_s*(nr_district_staff_facility_m_s)*(airtime_mentorship),0)</f>
        <v>0</v>
      </c>
      <c r="E42" s="196">
        <f>IFERROR('4. Parameters'!D111*'4. Parameters'!D104*'4. Parameters'!D105*'4. Parameters'!D106*('4. Parameters'!D108)*(airtime_mentorship),0)</f>
        <v>0</v>
      </c>
      <c r="F42" s="196">
        <f>IFERROR('4. Parameters'!E111*'4. Parameters'!E104*'4. Parameters'!E105*'4. Parameters'!E106*('4. Parameters'!E108)*(airtime_mentorship),0)</f>
        <v>0</v>
      </c>
      <c r="G42" s="196">
        <f>IFERROR('4. Parameters'!F111*'4. Parameters'!F104*'4. Parameters'!F105*'4. Parameters'!F106*('4. Parameters'!F108)*(airtime_mentorship),0)</f>
        <v>0</v>
      </c>
      <c r="H42" s="196">
        <f>IFERROR('4. Parameters'!G111*'4. Parameters'!G104*'4. Parameters'!G105*'4. Parameters'!G106*('4. Parameters'!G108)*(airtime_mentorship),0)</f>
        <v>0</v>
      </c>
      <c r="I42" s="196">
        <f>IFERROR('4. Parameters'!H111*'4. Parameters'!H104*'4. Parameters'!H105*'4. Parameters'!H106*('4. Parameters'!H108)*(airtime_mentorship),0)</f>
        <v>0</v>
      </c>
      <c r="J42" s="196">
        <f>IFERROR('4. Parameters'!I111*'4. Parameters'!I104*'4. Parameters'!I105*'4. Parameters'!I106*('4. Parameters'!I108)*(airtime_mentorship),0)</f>
        <v>0</v>
      </c>
      <c r="K42" s="196">
        <f>IFERROR('4. Parameters'!J111*'4. Parameters'!J104*'4. Parameters'!J105*'4. Parameters'!J106*('4. Parameters'!J108)*(airtime_mentorship),0)</f>
        <v>0</v>
      </c>
      <c r="L42" s="196">
        <f>IFERROR('4. Parameters'!K111*'4. Parameters'!K104*'4. Parameters'!K105*'4. Parameters'!K106*('4. Parameters'!K108)*(airtime_mentorship),0)</f>
        <v>0</v>
      </c>
      <c r="M42" s="196">
        <f>IFERROR('4. Parameters'!L111*'4. Parameters'!L104*'4. Parameters'!L105*'4. Parameters'!L106*('4. Parameters'!L108)*(airtime_mentorship),0)</f>
        <v>0</v>
      </c>
    </row>
    <row r="43" spans="1:13">
      <c r="B43" s="29" t="s">
        <v>266</v>
      </c>
      <c r="D43" s="202">
        <f>SUM(D35:D42)</f>
        <v>0</v>
      </c>
      <c r="E43" s="202">
        <f t="shared" ref="E43" si="12">SUM(E35:E42)</f>
        <v>0</v>
      </c>
      <c r="F43" s="202">
        <f t="shared" ref="F43" si="13">SUM(F35:F42)</f>
        <v>0</v>
      </c>
      <c r="G43" s="202">
        <f t="shared" ref="G43" si="14">SUM(G35:G42)</f>
        <v>0</v>
      </c>
      <c r="H43" s="202">
        <f t="shared" ref="H43" si="15">SUM(H35:H42)</f>
        <v>0</v>
      </c>
      <c r="I43" s="202">
        <f t="shared" ref="I43" si="16">SUM(I35:I42)</f>
        <v>0</v>
      </c>
      <c r="J43" s="202">
        <f t="shared" ref="J43" si="17">SUM(J35:J42)</f>
        <v>0</v>
      </c>
      <c r="K43" s="202">
        <f t="shared" ref="K43" si="18">SUM(K35:K42)</f>
        <v>0</v>
      </c>
      <c r="L43" s="202">
        <f t="shared" ref="L43" si="19">SUM(L35:L42)</f>
        <v>0</v>
      </c>
      <c r="M43" s="202">
        <f t="shared" ref="M43" si="20">SUM(M35:M42)</f>
        <v>0</v>
      </c>
    </row>
  </sheetData>
  <mergeCells count="3">
    <mergeCell ref="A4:B4"/>
    <mergeCell ref="A5:B5"/>
    <mergeCell ref="A6:B6"/>
  </mergeCells>
  <hyperlinks>
    <hyperlink ref="A4" location="'3.Site mentorship &amp; supervision'!B11:M21" display="3.1.2 National level mentoring and supervision visits to regions" xr:uid="{00000000-0004-0000-0700-000000000000}"/>
    <hyperlink ref="A5:B5" location="'3.Site mentorship &amp; supervision'!B23:M32" display="3.1.3 Regional level mentoring and supervision visits to districts" xr:uid="{00000000-0004-0000-0700-000001000000}"/>
    <hyperlink ref="A6:B6" location="'3.Site mentorship &amp; supervision'!B34:M43" display="3.1.4 District level mentoring and supervision visits to facilities" xr:uid="{00000000-0004-0000-0700-000002000000}"/>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4" tint="-0.249977111117893"/>
  </sheetPr>
  <dimension ref="A1:U38"/>
  <sheetViews>
    <sheetView workbookViewId="0">
      <pane ySplit="4" topLeftCell="A5" activePane="bottomLeft" state="frozen"/>
      <selection pane="bottomLeft" activeCell="A9" sqref="A9"/>
    </sheetView>
  </sheetViews>
  <sheetFormatPr baseColWidth="10" defaultColWidth="9.1640625" defaultRowHeight="15"/>
  <cols>
    <col min="1" max="1" width="83.5" style="1" bestFit="1" customWidth="1"/>
    <col min="2" max="2" width="13.1640625" style="1" customWidth="1"/>
    <col min="3" max="4" width="12" style="1" customWidth="1"/>
    <col min="5" max="5" width="13.33203125" style="1" customWidth="1"/>
    <col min="6" max="6" width="13.1640625" style="1" customWidth="1"/>
    <col min="7" max="7" width="13.5" style="1" customWidth="1"/>
    <col min="8" max="8" width="14" style="1" customWidth="1"/>
    <col min="9" max="10" width="13.33203125" style="1" customWidth="1"/>
    <col min="11" max="11" width="13.5" style="1" customWidth="1"/>
    <col min="12" max="16384" width="9.1640625" style="1"/>
  </cols>
  <sheetData>
    <row r="1" spans="1:21" s="151" customFormat="1" ht="19">
      <c r="A1" s="152" t="s">
        <v>48</v>
      </c>
      <c r="B1" s="152"/>
      <c r="C1" s="152"/>
      <c r="D1" s="152"/>
      <c r="E1" s="152"/>
      <c r="F1" s="152"/>
      <c r="G1" s="152"/>
      <c r="H1" s="152"/>
      <c r="I1" s="152"/>
      <c r="J1" s="152"/>
      <c r="K1" s="152"/>
      <c r="L1" s="152"/>
      <c r="M1" s="152"/>
      <c r="N1" s="152"/>
      <c r="O1" s="152"/>
      <c r="P1" s="152"/>
      <c r="Q1" s="152"/>
    </row>
    <row r="2" spans="1:21" ht="19">
      <c r="A2" s="257" t="s">
        <v>330</v>
      </c>
      <c r="B2" s="257"/>
      <c r="C2" s="257"/>
      <c r="D2" s="257"/>
      <c r="E2" s="257"/>
      <c r="F2" s="257"/>
      <c r="G2" s="257"/>
      <c r="H2" s="257"/>
      <c r="I2" s="257"/>
      <c r="J2" s="257"/>
      <c r="K2" s="257"/>
      <c r="L2" s="257"/>
      <c r="M2" s="257"/>
      <c r="N2" s="257"/>
      <c r="O2" s="257"/>
      <c r="P2" s="257"/>
      <c r="Q2" s="257"/>
      <c r="R2" s="257"/>
      <c r="S2" s="257"/>
      <c r="T2" s="257"/>
      <c r="U2" s="257"/>
    </row>
    <row r="3" spans="1:21" ht="16" thickBot="1">
      <c r="A3" s="213" t="str">
        <f>"Costs are displayed in $"&amp;currency</f>
        <v>Costs are displayed in $USD</v>
      </c>
    </row>
    <row r="4" spans="1:21" ht="16" thickBot="1">
      <c r="B4" s="37">
        <f>start_year</f>
        <v>2020</v>
      </c>
      <c r="C4" s="37">
        <f>B4+1</f>
        <v>2021</v>
      </c>
      <c r="D4" s="37">
        <f t="shared" ref="D4:K4" si="0">C4+1</f>
        <v>2022</v>
      </c>
      <c r="E4" s="37">
        <f t="shared" si="0"/>
        <v>2023</v>
      </c>
      <c r="F4" s="37">
        <f t="shared" si="0"/>
        <v>2024</v>
      </c>
      <c r="G4" s="37">
        <f t="shared" si="0"/>
        <v>2025</v>
      </c>
      <c r="H4" s="37">
        <f t="shared" si="0"/>
        <v>2026</v>
      </c>
      <c r="I4" s="37">
        <f t="shared" si="0"/>
        <v>2027</v>
      </c>
      <c r="J4" s="37">
        <f t="shared" si="0"/>
        <v>2028</v>
      </c>
      <c r="K4" s="37">
        <f t="shared" si="0"/>
        <v>2029</v>
      </c>
    </row>
    <row r="6" spans="1:21" ht="16" thickBot="1">
      <c r="A6" s="8" t="s">
        <v>205</v>
      </c>
      <c r="B6" s="38"/>
      <c r="C6" s="38"/>
      <c r="D6" s="38"/>
      <c r="E6" s="38"/>
      <c r="F6" s="38"/>
      <c r="G6" s="38"/>
      <c r="H6" s="38"/>
      <c r="I6" s="38"/>
      <c r="J6" s="38"/>
      <c r="K6" s="38"/>
    </row>
    <row r="7" spans="1:21">
      <c r="A7" s="41" t="s">
        <v>333</v>
      </c>
      <c r="B7" s="39">
        <f>'6. Training materials'!D15</f>
        <v>0</v>
      </c>
      <c r="C7" s="39">
        <f>'6. Training materials'!E15</f>
        <v>0</v>
      </c>
      <c r="D7" s="39">
        <f>'6. Training materials'!F15</f>
        <v>0</v>
      </c>
      <c r="E7" s="39">
        <f>'6. Training materials'!G15</f>
        <v>0</v>
      </c>
      <c r="F7" s="39">
        <f>'6. Training materials'!H15</f>
        <v>0</v>
      </c>
      <c r="G7" s="39">
        <f>'6. Training materials'!I15</f>
        <v>0</v>
      </c>
      <c r="H7" s="39">
        <f>'6. Training materials'!J15</f>
        <v>0</v>
      </c>
      <c r="I7" s="39">
        <f>'6. Training materials'!K15</f>
        <v>0</v>
      </c>
      <c r="J7" s="39">
        <f>'6. Training materials'!L15</f>
        <v>0</v>
      </c>
      <c r="K7" s="39">
        <f>'6. Training materials'!M15</f>
        <v>0</v>
      </c>
    </row>
    <row r="8" spans="1:21" ht="16">
      <c r="A8" s="24" t="s">
        <v>428</v>
      </c>
      <c r="B8" s="210">
        <f>'6. Training materials'!D23</f>
        <v>0</v>
      </c>
      <c r="C8" s="210">
        <f>'6. Training materials'!E23</f>
        <v>0</v>
      </c>
      <c r="D8" s="210">
        <f>'6. Training materials'!F23</f>
        <v>0</v>
      </c>
      <c r="E8" s="210">
        <f>'6. Training materials'!G23</f>
        <v>0</v>
      </c>
      <c r="F8" s="210">
        <f>'6. Training materials'!H23</f>
        <v>0</v>
      </c>
      <c r="G8" s="210">
        <f>'6. Training materials'!I23</f>
        <v>0</v>
      </c>
      <c r="H8" s="210">
        <f>'6. Training materials'!J23</f>
        <v>0</v>
      </c>
      <c r="I8" s="210">
        <f>'6. Training materials'!K23</f>
        <v>0</v>
      </c>
      <c r="J8" s="210">
        <f>'6. Training materials'!L23</f>
        <v>0</v>
      </c>
      <c r="K8" s="210">
        <f>'6. Training materials'!M23</f>
        <v>0</v>
      </c>
    </row>
    <row r="9" spans="1:21" ht="16">
      <c r="A9" s="24" t="s">
        <v>206</v>
      </c>
      <c r="B9" s="210">
        <f>'6. Training materials'!D31</f>
        <v>0</v>
      </c>
      <c r="C9" s="210">
        <f>'6. Training materials'!E31</f>
        <v>0</v>
      </c>
      <c r="D9" s="210">
        <f>'6. Training materials'!F31</f>
        <v>0</v>
      </c>
      <c r="E9" s="210">
        <f>'6. Training materials'!G31</f>
        <v>0</v>
      </c>
      <c r="F9" s="210">
        <f>'6. Training materials'!H31</f>
        <v>0</v>
      </c>
      <c r="G9" s="210">
        <f>'6. Training materials'!I31</f>
        <v>0</v>
      </c>
      <c r="H9" s="210">
        <f>'6. Training materials'!J31</f>
        <v>0</v>
      </c>
      <c r="I9" s="210">
        <f>'6. Training materials'!K31</f>
        <v>0</v>
      </c>
      <c r="J9" s="210">
        <f>'6. Training materials'!L31</f>
        <v>0</v>
      </c>
      <c r="K9" s="210">
        <f>'6. Training materials'!M31</f>
        <v>0</v>
      </c>
    </row>
    <row r="10" spans="1:21" ht="16">
      <c r="A10" s="24" t="s">
        <v>208</v>
      </c>
      <c r="B10" s="210">
        <f>'6. Training materials'!D41</f>
        <v>0</v>
      </c>
      <c r="C10" s="210">
        <f>'6. Training materials'!E41</f>
        <v>0</v>
      </c>
      <c r="D10" s="210">
        <f>'6. Training materials'!F41</f>
        <v>0</v>
      </c>
      <c r="E10" s="210">
        <f>'6. Training materials'!G41</f>
        <v>0</v>
      </c>
      <c r="F10" s="210">
        <f>'6. Training materials'!H41</f>
        <v>0</v>
      </c>
      <c r="G10" s="210">
        <f>'6. Training materials'!I41</f>
        <v>0</v>
      </c>
      <c r="H10" s="210">
        <f>'6. Training materials'!J41</f>
        <v>0</v>
      </c>
      <c r="I10" s="210">
        <f>'6. Training materials'!K41</f>
        <v>0</v>
      </c>
      <c r="J10" s="210">
        <f>'6. Training materials'!L41</f>
        <v>0</v>
      </c>
      <c r="K10" s="210">
        <f>'6. Training materials'!M41</f>
        <v>0</v>
      </c>
    </row>
    <row r="11" spans="1:21" ht="16">
      <c r="A11" s="24" t="s">
        <v>207</v>
      </c>
      <c r="B11" s="210">
        <f>'6. Training materials'!D51</f>
        <v>0</v>
      </c>
      <c r="C11" s="210">
        <f>'6. Training materials'!E51</f>
        <v>0</v>
      </c>
      <c r="D11" s="210">
        <f>'6. Training materials'!F51</f>
        <v>0</v>
      </c>
      <c r="E11" s="210">
        <f>'6. Training materials'!G51</f>
        <v>0</v>
      </c>
      <c r="F11" s="210">
        <f>'6. Training materials'!H51</f>
        <v>0</v>
      </c>
      <c r="G11" s="210">
        <f>'6. Training materials'!I51</f>
        <v>0</v>
      </c>
      <c r="H11" s="210">
        <f>'6. Training materials'!J51</f>
        <v>0</v>
      </c>
      <c r="I11" s="210">
        <f>'6. Training materials'!K51</f>
        <v>0</v>
      </c>
      <c r="J11" s="210">
        <f>'6. Training materials'!L51</f>
        <v>0</v>
      </c>
      <c r="K11" s="210">
        <f>'6. Training materials'!M51</f>
        <v>0</v>
      </c>
    </row>
    <row r="12" spans="1:21" ht="15.5" customHeight="1">
      <c r="A12" s="24" t="s">
        <v>209</v>
      </c>
      <c r="B12" s="211">
        <f>'6. Training materials'!D61</f>
        <v>0</v>
      </c>
      <c r="C12" s="211">
        <f>'6. Training materials'!E61</f>
        <v>0</v>
      </c>
      <c r="D12" s="211">
        <f>'6. Training materials'!F61</f>
        <v>0</v>
      </c>
      <c r="E12" s="211">
        <f>'6. Training materials'!G61</f>
        <v>0</v>
      </c>
      <c r="F12" s="211">
        <f>'6. Training materials'!H61</f>
        <v>0</v>
      </c>
      <c r="G12" s="211">
        <f>'6. Training materials'!I61</f>
        <v>0</v>
      </c>
      <c r="H12" s="211">
        <f>'6. Training materials'!J61</f>
        <v>0</v>
      </c>
      <c r="I12" s="211">
        <f>'6. Training materials'!K61</f>
        <v>0</v>
      </c>
      <c r="J12" s="211">
        <f>'6. Training materials'!L61</f>
        <v>0</v>
      </c>
      <c r="K12" s="211">
        <f>'6. Training materials'!M61</f>
        <v>0</v>
      </c>
    </row>
    <row r="13" spans="1:21" s="8" customFormat="1" ht="16" thickBot="1">
      <c r="A13" s="40" t="s">
        <v>210</v>
      </c>
      <c r="B13" s="212">
        <f>SUM(B7:B12)</f>
        <v>0</v>
      </c>
      <c r="C13" s="212">
        <f t="shared" ref="C13:K13" si="1">SUM(C7:C12)</f>
        <v>0</v>
      </c>
      <c r="D13" s="212">
        <f t="shared" si="1"/>
        <v>0</v>
      </c>
      <c r="E13" s="212">
        <f t="shared" si="1"/>
        <v>0</v>
      </c>
      <c r="F13" s="212">
        <f t="shared" si="1"/>
        <v>0</v>
      </c>
      <c r="G13" s="212">
        <f t="shared" si="1"/>
        <v>0</v>
      </c>
      <c r="H13" s="212">
        <f t="shared" si="1"/>
        <v>0</v>
      </c>
      <c r="I13" s="212">
        <f t="shared" si="1"/>
        <v>0</v>
      </c>
      <c r="J13" s="212">
        <f t="shared" si="1"/>
        <v>0</v>
      </c>
      <c r="K13" s="212">
        <f t="shared" si="1"/>
        <v>0</v>
      </c>
    </row>
    <row r="14" spans="1:21">
      <c r="B14" s="38"/>
      <c r="C14" s="38"/>
      <c r="D14" s="38"/>
      <c r="E14" s="38"/>
      <c r="F14" s="38"/>
      <c r="G14" s="38"/>
      <c r="H14" s="38"/>
      <c r="I14" s="38"/>
      <c r="J14" s="38"/>
      <c r="K14" s="38"/>
    </row>
    <row r="15" spans="1:21" ht="16" thickBot="1">
      <c r="A15" s="8" t="s">
        <v>260</v>
      </c>
      <c r="B15" s="38"/>
      <c r="C15" s="38"/>
      <c r="D15" s="38"/>
      <c r="E15" s="38"/>
      <c r="F15" s="38"/>
      <c r="G15" s="38"/>
      <c r="H15" s="38"/>
      <c r="I15" s="38"/>
      <c r="J15" s="38"/>
      <c r="K15" s="38"/>
    </row>
    <row r="16" spans="1:21">
      <c r="A16" s="41" t="s">
        <v>116</v>
      </c>
      <c r="B16" s="203">
        <f>'7. Training programme'!D23</f>
        <v>0</v>
      </c>
      <c r="C16" s="203">
        <f>'7. Training programme'!E23</f>
        <v>0</v>
      </c>
      <c r="D16" s="203">
        <f>'7. Training programme'!F23</f>
        <v>0</v>
      </c>
      <c r="E16" s="203">
        <f>'7. Training programme'!G23</f>
        <v>0</v>
      </c>
      <c r="F16" s="203">
        <f>'7. Training programme'!H23</f>
        <v>0</v>
      </c>
      <c r="G16" s="203">
        <f>'7. Training programme'!I23</f>
        <v>0</v>
      </c>
      <c r="H16" s="203">
        <f>'7. Training programme'!J23</f>
        <v>0</v>
      </c>
      <c r="I16" s="203">
        <f>'7. Training programme'!K23</f>
        <v>0</v>
      </c>
      <c r="J16" s="203">
        <f>'7. Training programme'!L23</f>
        <v>0</v>
      </c>
      <c r="K16" s="203">
        <f>'7. Training programme'!M23</f>
        <v>0</v>
      </c>
    </row>
    <row r="17" spans="1:11">
      <c r="A17" s="42" t="s">
        <v>156</v>
      </c>
      <c r="B17" s="206">
        <f>'7. Training programme'!D38</f>
        <v>0</v>
      </c>
      <c r="C17" s="206">
        <f>'7. Training programme'!E38</f>
        <v>0</v>
      </c>
      <c r="D17" s="206">
        <f>'7. Training programme'!F38</f>
        <v>0</v>
      </c>
      <c r="E17" s="206">
        <f>'7. Training programme'!G38</f>
        <v>0</v>
      </c>
      <c r="F17" s="206">
        <f>'7. Training programme'!H38</f>
        <v>0</v>
      </c>
      <c r="G17" s="206">
        <f>'7. Training programme'!I38</f>
        <v>0</v>
      </c>
      <c r="H17" s="206">
        <f>'7. Training programme'!J38</f>
        <v>0</v>
      </c>
      <c r="I17" s="206">
        <f>'7. Training programme'!K38</f>
        <v>0</v>
      </c>
      <c r="J17" s="206">
        <f>'7. Training programme'!L38</f>
        <v>0</v>
      </c>
      <c r="K17" s="206">
        <f>'7. Training programme'!M38</f>
        <v>0</v>
      </c>
    </row>
    <row r="18" spans="1:11">
      <c r="A18" s="42" t="s">
        <v>31</v>
      </c>
      <c r="B18" s="206">
        <f>'7. Training programme'!D51</f>
        <v>0</v>
      </c>
      <c r="C18" s="206">
        <f>'7. Training programme'!E51</f>
        <v>0</v>
      </c>
      <c r="D18" s="206">
        <f>'7. Training programme'!F51</f>
        <v>0</v>
      </c>
      <c r="E18" s="206">
        <f>'7. Training programme'!G51</f>
        <v>0</v>
      </c>
      <c r="F18" s="206">
        <f>'7. Training programme'!H51</f>
        <v>0</v>
      </c>
      <c r="G18" s="206">
        <f>'7. Training programme'!I51</f>
        <v>0</v>
      </c>
      <c r="H18" s="206">
        <f>'7. Training programme'!J51</f>
        <v>0</v>
      </c>
      <c r="I18" s="206">
        <f>'7. Training programme'!K51</f>
        <v>0</v>
      </c>
      <c r="J18" s="206">
        <f>'7. Training programme'!L51</f>
        <v>0</v>
      </c>
      <c r="K18" s="206">
        <f>'7. Training programme'!M51</f>
        <v>0</v>
      </c>
    </row>
    <row r="19" spans="1:11">
      <c r="A19" s="42" t="s">
        <v>35</v>
      </c>
      <c r="B19" s="206">
        <f>'7. Training programme'!D63</f>
        <v>0</v>
      </c>
      <c r="C19" s="206">
        <f>'7. Training programme'!E63</f>
        <v>0</v>
      </c>
      <c r="D19" s="206">
        <f>'7. Training programme'!F63</f>
        <v>0</v>
      </c>
      <c r="E19" s="206">
        <f>'7. Training programme'!G63</f>
        <v>0</v>
      </c>
      <c r="F19" s="206">
        <f>'7. Training programme'!H63</f>
        <v>0</v>
      </c>
      <c r="G19" s="206">
        <f>'7. Training programme'!I63</f>
        <v>0</v>
      </c>
      <c r="H19" s="206">
        <f>'7. Training programme'!J63</f>
        <v>0</v>
      </c>
      <c r="I19" s="206">
        <f>'7. Training programme'!K63</f>
        <v>0</v>
      </c>
      <c r="J19" s="206">
        <f>'7. Training programme'!L63</f>
        <v>0</v>
      </c>
      <c r="K19" s="206">
        <f>'7. Training programme'!M63</f>
        <v>0</v>
      </c>
    </row>
    <row r="20" spans="1:11" ht="16" thickBot="1">
      <c r="A20" s="45" t="s">
        <v>259</v>
      </c>
      <c r="B20" s="212">
        <f>SUM(B16:B19)</f>
        <v>0</v>
      </c>
      <c r="C20" s="212">
        <f t="shared" ref="C20:K20" si="2">SUM(C16:C19)</f>
        <v>0</v>
      </c>
      <c r="D20" s="212">
        <f t="shared" si="2"/>
        <v>0</v>
      </c>
      <c r="E20" s="212">
        <f t="shared" si="2"/>
        <v>0</v>
      </c>
      <c r="F20" s="212">
        <f t="shared" si="2"/>
        <v>0</v>
      </c>
      <c r="G20" s="212">
        <f t="shared" si="2"/>
        <v>0</v>
      </c>
      <c r="H20" s="212">
        <f t="shared" si="2"/>
        <v>0</v>
      </c>
      <c r="I20" s="212">
        <f t="shared" si="2"/>
        <v>0</v>
      </c>
      <c r="J20" s="212">
        <f t="shared" si="2"/>
        <v>0</v>
      </c>
      <c r="K20" s="212">
        <f t="shared" si="2"/>
        <v>0</v>
      </c>
    </row>
    <row r="21" spans="1:11">
      <c r="B21" s="43"/>
      <c r="C21" s="43"/>
      <c r="D21" s="43"/>
      <c r="E21" s="43"/>
      <c r="F21" s="43"/>
      <c r="G21" s="43"/>
      <c r="H21" s="43"/>
      <c r="I21" s="43"/>
      <c r="J21" s="43"/>
      <c r="K21" s="43"/>
    </row>
    <row r="22" spans="1:11">
      <c r="B22" s="43"/>
      <c r="C22" s="43"/>
      <c r="D22" s="43"/>
      <c r="E22" s="43"/>
      <c r="F22" s="43"/>
      <c r="G22" s="43"/>
      <c r="H22" s="43"/>
      <c r="I22" s="43"/>
      <c r="J22" s="43"/>
      <c r="K22" s="43"/>
    </row>
    <row r="23" spans="1:11">
      <c r="A23" s="8" t="s">
        <v>261</v>
      </c>
      <c r="B23" s="43"/>
      <c r="C23" s="43"/>
      <c r="D23" s="43"/>
      <c r="E23" s="43"/>
      <c r="F23" s="43"/>
      <c r="G23" s="43"/>
      <c r="H23" s="43"/>
      <c r="I23" s="43"/>
      <c r="J23" s="43"/>
      <c r="K23" s="43"/>
    </row>
    <row r="24" spans="1:11">
      <c r="A24" s="42" t="s">
        <v>262</v>
      </c>
      <c r="B24" s="206">
        <f>'8.Site mentorship &amp; supervision'!D21</f>
        <v>0</v>
      </c>
      <c r="C24" s="206">
        <f>'8.Site mentorship &amp; supervision'!E21</f>
        <v>0</v>
      </c>
      <c r="D24" s="206">
        <f>'8.Site mentorship &amp; supervision'!F21</f>
        <v>0</v>
      </c>
      <c r="E24" s="206">
        <f>'8.Site mentorship &amp; supervision'!G21</f>
        <v>0</v>
      </c>
      <c r="F24" s="206">
        <f>'8.Site mentorship &amp; supervision'!H21</f>
        <v>0</v>
      </c>
      <c r="G24" s="206">
        <f>'8.Site mentorship &amp; supervision'!I21</f>
        <v>0</v>
      </c>
      <c r="H24" s="206">
        <f>'8.Site mentorship &amp; supervision'!J21</f>
        <v>0</v>
      </c>
      <c r="I24" s="206">
        <f>'8.Site mentorship &amp; supervision'!K21</f>
        <v>0</v>
      </c>
      <c r="J24" s="206">
        <f>'8.Site mentorship &amp; supervision'!L21</f>
        <v>0</v>
      </c>
      <c r="K24" s="206">
        <f>'8.Site mentorship &amp; supervision'!M21</f>
        <v>0</v>
      </c>
    </row>
    <row r="25" spans="1:11">
      <c r="A25" s="44" t="s">
        <v>263</v>
      </c>
      <c r="B25" s="206">
        <f>'8.Site mentorship &amp; supervision'!D32</f>
        <v>0</v>
      </c>
      <c r="C25" s="206">
        <f>'8.Site mentorship &amp; supervision'!E32</f>
        <v>0</v>
      </c>
      <c r="D25" s="206">
        <f>'8.Site mentorship &amp; supervision'!F32</f>
        <v>0</v>
      </c>
      <c r="E25" s="206">
        <f>'8.Site mentorship &amp; supervision'!G32</f>
        <v>0</v>
      </c>
      <c r="F25" s="206">
        <f>'8.Site mentorship &amp; supervision'!H32</f>
        <v>0</v>
      </c>
      <c r="G25" s="206">
        <f>'8.Site mentorship &amp; supervision'!I32</f>
        <v>0</v>
      </c>
      <c r="H25" s="206">
        <f>'8.Site mentorship &amp; supervision'!J32</f>
        <v>0</v>
      </c>
      <c r="I25" s="206">
        <f>'8.Site mentorship &amp; supervision'!K32</f>
        <v>0</v>
      </c>
      <c r="J25" s="206">
        <f>'8.Site mentorship &amp; supervision'!L32</f>
        <v>0</v>
      </c>
      <c r="K25" s="206">
        <f>'8.Site mentorship &amp; supervision'!M32</f>
        <v>0</v>
      </c>
    </row>
    <row r="26" spans="1:11">
      <c r="A26" s="42" t="s">
        <v>264</v>
      </c>
      <c r="B26" s="206">
        <f>'8.Site mentorship &amp; supervision'!D43</f>
        <v>0</v>
      </c>
      <c r="C26" s="206">
        <f>'8.Site mentorship &amp; supervision'!E43</f>
        <v>0</v>
      </c>
      <c r="D26" s="206">
        <f>'8.Site mentorship &amp; supervision'!F43</f>
        <v>0</v>
      </c>
      <c r="E26" s="206">
        <f>'8.Site mentorship &amp; supervision'!G43</f>
        <v>0</v>
      </c>
      <c r="F26" s="206">
        <f>'8.Site mentorship &amp; supervision'!H43</f>
        <v>0</v>
      </c>
      <c r="G26" s="206">
        <f>'8.Site mentorship &amp; supervision'!I43</f>
        <v>0</v>
      </c>
      <c r="H26" s="206">
        <f>'8.Site mentorship &amp; supervision'!J43</f>
        <v>0</v>
      </c>
      <c r="I26" s="206">
        <f>'8.Site mentorship &amp; supervision'!K43</f>
        <v>0</v>
      </c>
      <c r="J26" s="206">
        <f>'8.Site mentorship &amp; supervision'!L43</f>
        <v>0</v>
      </c>
      <c r="K26" s="206">
        <f>'8.Site mentorship &amp; supervision'!M43</f>
        <v>0</v>
      </c>
    </row>
    <row r="27" spans="1:11" ht="16" thickBot="1">
      <c r="A27" s="45" t="s">
        <v>265</v>
      </c>
      <c r="B27" s="209">
        <f>SUM(B24:B26)</f>
        <v>0</v>
      </c>
      <c r="C27" s="209">
        <f t="shared" ref="C27:K27" si="3">SUM(C24:C26)</f>
        <v>0</v>
      </c>
      <c r="D27" s="209">
        <f t="shared" si="3"/>
        <v>0</v>
      </c>
      <c r="E27" s="209">
        <f t="shared" si="3"/>
        <v>0</v>
      </c>
      <c r="F27" s="209">
        <f t="shared" si="3"/>
        <v>0</v>
      </c>
      <c r="G27" s="209">
        <f t="shared" si="3"/>
        <v>0</v>
      </c>
      <c r="H27" s="209">
        <f t="shared" si="3"/>
        <v>0</v>
      </c>
      <c r="I27" s="209">
        <f t="shared" si="3"/>
        <v>0</v>
      </c>
      <c r="J27" s="209">
        <f t="shared" si="3"/>
        <v>0</v>
      </c>
      <c r="K27" s="209">
        <f t="shared" si="3"/>
        <v>0</v>
      </c>
    </row>
    <row r="28" spans="1:11">
      <c r="B28" s="43"/>
      <c r="C28" s="43"/>
      <c r="D28" s="43"/>
      <c r="E28" s="43"/>
      <c r="F28" s="43"/>
      <c r="G28" s="43"/>
      <c r="H28" s="43"/>
      <c r="I28" s="43"/>
      <c r="J28" s="43"/>
      <c r="K28" s="43"/>
    </row>
    <row r="29" spans="1:11" ht="16" thickBot="1">
      <c r="A29" s="8" t="s">
        <v>273</v>
      </c>
    </row>
    <row r="30" spans="1:11" ht="16" thickBot="1">
      <c r="A30" s="53" t="s">
        <v>49</v>
      </c>
      <c r="B30" s="52">
        <f>start_year</f>
        <v>2020</v>
      </c>
      <c r="C30" s="46">
        <f t="shared" ref="C30:K30" si="4">B30+1</f>
        <v>2021</v>
      </c>
      <c r="D30" s="46">
        <f t="shared" si="4"/>
        <v>2022</v>
      </c>
      <c r="E30" s="46">
        <f t="shared" si="4"/>
        <v>2023</v>
      </c>
      <c r="F30" s="46">
        <f t="shared" si="4"/>
        <v>2024</v>
      </c>
      <c r="G30" s="46">
        <f t="shared" si="4"/>
        <v>2025</v>
      </c>
      <c r="H30" s="46">
        <f t="shared" si="4"/>
        <v>2026</v>
      </c>
      <c r="I30" s="46">
        <f t="shared" si="4"/>
        <v>2027</v>
      </c>
      <c r="J30" s="46">
        <f t="shared" si="4"/>
        <v>2028</v>
      </c>
      <c r="K30" s="47">
        <f t="shared" si="4"/>
        <v>2029</v>
      </c>
    </row>
    <row r="31" spans="1:11">
      <c r="A31" t="s">
        <v>190</v>
      </c>
      <c r="B31" s="203">
        <f t="shared" ref="B31:K31" si="5">B13</f>
        <v>0</v>
      </c>
      <c r="C31" s="203">
        <f t="shared" si="5"/>
        <v>0</v>
      </c>
      <c r="D31" s="203">
        <f t="shared" si="5"/>
        <v>0</v>
      </c>
      <c r="E31" s="203">
        <f t="shared" si="5"/>
        <v>0</v>
      </c>
      <c r="F31" s="203">
        <f t="shared" si="5"/>
        <v>0</v>
      </c>
      <c r="G31" s="203">
        <f t="shared" si="5"/>
        <v>0</v>
      </c>
      <c r="H31" s="203">
        <f t="shared" si="5"/>
        <v>0</v>
      </c>
      <c r="I31" s="203">
        <f t="shared" si="5"/>
        <v>0</v>
      </c>
      <c r="J31" s="203">
        <f t="shared" si="5"/>
        <v>0</v>
      </c>
      <c r="K31" s="203">
        <f t="shared" si="5"/>
        <v>0</v>
      </c>
    </row>
    <row r="32" spans="1:11">
      <c r="A32" s="48" t="s">
        <v>268</v>
      </c>
      <c r="B32" s="204" t="str">
        <f t="shared" ref="B32:K32" si="6">IFERROR(B31/B$37,"")</f>
        <v/>
      </c>
      <c r="C32" s="204" t="str">
        <f t="shared" si="6"/>
        <v/>
      </c>
      <c r="D32" s="204" t="str">
        <f t="shared" si="6"/>
        <v/>
      </c>
      <c r="E32" s="205" t="str">
        <f t="shared" si="6"/>
        <v/>
      </c>
      <c r="F32" s="205" t="str">
        <f t="shared" si="6"/>
        <v/>
      </c>
      <c r="G32" s="205" t="str">
        <f t="shared" si="6"/>
        <v/>
      </c>
      <c r="H32" s="205" t="str">
        <f t="shared" si="6"/>
        <v/>
      </c>
      <c r="I32" s="205" t="str">
        <f t="shared" si="6"/>
        <v/>
      </c>
      <c r="J32" s="205" t="str">
        <f t="shared" si="6"/>
        <v/>
      </c>
      <c r="K32" s="205" t="str">
        <f t="shared" si="6"/>
        <v/>
      </c>
    </row>
    <row r="33" spans="1:13">
      <c r="A33" t="s">
        <v>269</v>
      </c>
      <c r="B33" s="206">
        <f t="shared" ref="B33:K33" si="7">B20</f>
        <v>0</v>
      </c>
      <c r="C33" s="206">
        <f t="shared" si="7"/>
        <v>0</v>
      </c>
      <c r="D33" s="206">
        <f t="shared" si="7"/>
        <v>0</v>
      </c>
      <c r="E33" s="206">
        <f t="shared" si="7"/>
        <v>0</v>
      </c>
      <c r="F33" s="206">
        <f t="shared" si="7"/>
        <v>0</v>
      </c>
      <c r="G33" s="206">
        <f t="shared" si="7"/>
        <v>0</v>
      </c>
      <c r="H33" s="206">
        <f t="shared" si="7"/>
        <v>0</v>
      </c>
      <c r="I33" s="206">
        <f t="shared" si="7"/>
        <v>0</v>
      </c>
      <c r="J33" s="206">
        <f t="shared" si="7"/>
        <v>0</v>
      </c>
      <c r="K33" s="206">
        <f t="shared" si="7"/>
        <v>0</v>
      </c>
    </row>
    <row r="34" spans="1:13">
      <c r="A34" s="48" t="s">
        <v>270</v>
      </c>
      <c r="B34" s="205" t="str">
        <f t="shared" ref="B34:K34" si="8">IFERROR(B33/B$37,"")</f>
        <v/>
      </c>
      <c r="C34" s="205" t="str">
        <f t="shared" si="8"/>
        <v/>
      </c>
      <c r="D34" s="205" t="str">
        <f t="shared" si="8"/>
        <v/>
      </c>
      <c r="E34" s="205" t="str">
        <f t="shared" si="8"/>
        <v/>
      </c>
      <c r="F34" s="205" t="str">
        <f t="shared" si="8"/>
        <v/>
      </c>
      <c r="G34" s="205" t="str">
        <f t="shared" si="8"/>
        <v/>
      </c>
      <c r="H34" s="205" t="str">
        <f t="shared" si="8"/>
        <v/>
      </c>
      <c r="I34" s="205" t="str">
        <f t="shared" si="8"/>
        <v/>
      </c>
      <c r="J34" s="205" t="str">
        <f t="shared" si="8"/>
        <v/>
      </c>
      <c r="K34" s="205" t="str">
        <f t="shared" si="8"/>
        <v/>
      </c>
      <c r="M34" s="34"/>
    </row>
    <row r="35" spans="1:13">
      <c r="A35" s="3" t="s">
        <v>271</v>
      </c>
      <c r="B35" s="206">
        <f t="shared" ref="B35:K35" si="9">B27</f>
        <v>0</v>
      </c>
      <c r="C35" s="206">
        <f t="shared" si="9"/>
        <v>0</v>
      </c>
      <c r="D35" s="206">
        <f t="shared" si="9"/>
        <v>0</v>
      </c>
      <c r="E35" s="206">
        <f t="shared" si="9"/>
        <v>0</v>
      </c>
      <c r="F35" s="206">
        <f t="shared" si="9"/>
        <v>0</v>
      </c>
      <c r="G35" s="206">
        <f t="shared" si="9"/>
        <v>0</v>
      </c>
      <c r="H35" s="206">
        <f t="shared" si="9"/>
        <v>0</v>
      </c>
      <c r="I35" s="206">
        <f t="shared" si="9"/>
        <v>0</v>
      </c>
      <c r="J35" s="206">
        <f t="shared" si="9"/>
        <v>0</v>
      </c>
      <c r="K35" s="206">
        <f t="shared" si="9"/>
        <v>0</v>
      </c>
    </row>
    <row r="36" spans="1:13" ht="16" thickBot="1">
      <c r="A36" s="49" t="s">
        <v>272</v>
      </c>
      <c r="B36" s="207" t="str">
        <f>IFERROR(B35/B$37,"")</f>
        <v/>
      </c>
      <c r="C36" s="207" t="str">
        <f t="shared" ref="C36:K36" si="10">IFERROR(C35/C$37,"")</f>
        <v/>
      </c>
      <c r="D36" s="207" t="str">
        <f t="shared" si="10"/>
        <v/>
      </c>
      <c r="E36" s="207" t="str">
        <f t="shared" si="10"/>
        <v/>
      </c>
      <c r="F36" s="207" t="str">
        <f t="shared" si="10"/>
        <v/>
      </c>
      <c r="G36" s="207" t="str">
        <f t="shared" si="10"/>
        <v/>
      </c>
      <c r="H36" s="207" t="str">
        <f t="shared" si="10"/>
        <v/>
      </c>
      <c r="I36" s="207" t="str">
        <f t="shared" si="10"/>
        <v/>
      </c>
      <c r="J36" s="207" t="str">
        <f t="shared" si="10"/>
        <v/>
      </c>
      <c r="K36" s="207" t="str">
        <f t="shared" si="10"/>
        <v/>
      </c>
    </row>
    <row r="37" spans="1:13" ht="16" thickBot="1">
      <c r="A37" s="105" t="s">
        <v>274</v>
      </c>
      <c r="B37" s="208">
        <f>B31+B33+B35</f>
        <v>0</v>
      </c>
      <c r="C37" s="208">
        <f t="shared" ref="C37:K37" si="11">C31+C33+C35</f>
        <v>0</v>
      </c>
      <c r="D37" s="208">
        <f t="shared" si="11"/>
        <v>0</v>
      </c>
      <c r="E37" s="208">
        <f t="shared" si="11"/>
        <v>0</v>
      </c>
      <c r="F37" s="208">
        <f t="shared" si="11"/>
        <v>0</v>
      </c>
      <c r="G37" s="208">
        <f t="shared" si="11"/>
        <v>0</v>
      </c>
      <c r="H37" s="208">
        <f t="shared" si="11"/>
        <v>0</v>
      </c>
      <c r="I37" s="208">
        <f t="shared" si="11"/>
        <v>0</v>
      </c>
      <c r="J37" s="208">
        <f t="shared" si="11"/>
        <v>0</v>
      </c>
      <c r="K37" s="208">
        <f t="shared" si="11"/>
        <v>0</v>
      </c>
    </row>
    <row r="38" spans="1:13">
      <c r="A38" s="50"/>
      <c r="B38" s="51"/>
      <c r="C38" s="51"/>
      <c r="D38" s="51"/>
      <c r="E38" s="51"/>
      <c r="F38" s="51"/>
      <c r="G38" s="51"/>
      <c r="H38" s="51"/>
      <c r="I38" s="51"/>
      <c r="J38" s="51"/>
      <c r="K38" s="51"/>
    </row>
  </sheetData>
  <mergeCells count="1">
    <mergeCell ref="A2:U2"/>
  </mergeCells>
  <pageMargins left="0.7" right="0.7" top="0.75" bottom="0.75" header="0.3" footer="0.3"/>
  <ignoredErrors>
    <ignoredError sqref="B33:K37" formula="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C0843509C8034EB4BF3F7FA83570E6" ma:contentTypeVersion="10" ma:contentTypeDescription="Create a new document." ma:contentTypeScope="" ma:versionID="d1532961188c19f3ddee60e09985aaf2">
  <xsd:schema xmlns:xsd="http://www.w3.org/2001/XMLSchema" xmlns:xs="http://www.w3.org/2001/XMLSchema" xmlns:p="http://schemas.microsoft.com/office/2006/metadata/properties" xmlns:ns3="a1f841e4-6ccb-4196-8115-47f6021b8ecd" targetNamespace="http://schemas.microsoft.com/office/2006/metadata/properties" ma:root="true" ma:fieldsID="69e0c2073ec88951558b858a23f8df92" ns3:_="">
    <xsd:import namespace="a1f841e4-6ccb-4196-8115-47f6021b8e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f841e4-6ccb-4196-8115-47f6021b8e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46F1E-80D5-48F5-A51B-FDAA3035248D}">
  <ds:schemaRefs>
    <ds:schemaRef ds:uri="http://schemas.microsoft.com/office/infopath/2007/PartnerControls"/>
    <ds:schemaRef ds:uri="http://purl.org/dc/elements/1.1/"/>
    <ds:schemaRef ds:uri="http://schemas.microsoft.com/office/2006/metadata/properties"/>
    <ds:schemaRef ds:uri="http://purl.org/dc/terms/"/>
    <ds:schemaRef ds:uri="a1f841e4-6ccb-4196-8115-47f6021b8ecd"/>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A6C4707-B97D-45BA-B5EF-3A47F5577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f841e4-6ccb-4196-8115-47f6021b8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F72F5-6976-4BBD-84BD-940BFB3427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11</vt:i4>
      </vt:variant>
      <vt:variant>
        <vt:lpstr>Intervalli denominati</vt:lpstr>
      </vt:variant>
      <vt:variant>
        <vt:i4>143</vt:i4>
      </vt:variant>
    </vt:vector>
  </HeadingPairs>
  <TitlesOfParts>
    <vt:vector size="154" baseType="lpstr">
      <vt:lpstr>1. Title page</vt:lpstr>
      <vt:lpstr>2. Menu</vt:lpstr>
      <vt:lpstr>3. Guide</vt:lpstr>
      <vt:lpstr>4. Parameters</vt:lpstr>
      <vt:lpstr>5. Unit costs</vt:lpstr>
      <vt:lpstr>6. Training materials</vt:lpstr>
      <vt:lpstr>7. Training programme</vt:lpstr>
      <vt:lpstr>8.Site mentorship &amp; supervision</vt:lpstr>
      <vt:lpstr>9. Results Summary</vt:lpstr>
      <vt:lpstr>10. Notes &amp; Assumptions</vt:lpstr>
      <vt:lpstr>11. References</vt:lpstr>
      <vt:lpstr>_xch</vt:lpstr>
      <vt:lpstr>airfare_mentorship</vt:lpstr>
      <vt:lpstr>airfare_MoH_trainers_onsite_training</vt:lpstr>
      <vt:lpstr>airtime_mentorship</vt:lpstr>
      <vt:lpstr>consultant_fee_training_materials</vt:lpstr>
      <vt:lpstr>Country</vt:lpstr>
      <vt:lpstr>country_name</vt:lpstr>
      <vt:lpstr>currency</vt:lpstr>
      <vt:lpstr>districts_number</vt:lpstr>
      <vt:lpstr>facilitation_fee_central_ToT</vt:lpstr>
      <vt:lpstr>hotel_cost_central_ToT</vt:lpstr>
      <vt:lpstr>hotel_cost_onsite_training</vt:lpstr>
      <vt:lpstr>hotel_cost_regional_ToT</vt:lpstr>
      <vt:lpstr>hotel_mentorship</vt:lpstr>
      <vt:lpstr>hotel_workshop_materials</vt:lpstr>
      <vt:lpstr>hr_time_training_materials</vt:lpstr>
      <vt:lpstr>international_travel_central_ToT</vt:lpstr>
      <vt:lpstr>local_currency</vt:lpstr>
      <vt:lpstr>lunch_mentorship</vt:lpstr>
      <vt:lpstr>lunch_regional_ToT</vt:lpstr>
      <vt:lpstr>m_e_fees</vt:lpstr>
      <vt:lpstr>nr_consultants</vt:lpstr>
      <vt:lpstr>nr_days_district_m_s</vt:lpstr>
      <vt:lpstr>nr_days_facility_m_s</vt:lpstr>
      <vt:lpstr>nr_days_per_session_onsite</vt:lpstr>
      <vt:lpstr>nr_days_per_session_tot_c</vt:lpstr>
      <vt:lpstr>nr_days_per_session_tot_c_refresher</vt:lpstr>
      <vt:lpstr>nr_days_per_session_tot_r</vt:lpstr>
      <vt:lpstr>nr_days_regional_m_s</vt:lpstr>
      <vt:lpstr>nr_days_workshop_draft</vt:lpstr>
      <vt:lpstr>nr_days_workshop_finalize</vt:lpstr>
      <vt:lpstr>nr_days_workshop_validate</vt:lpstr>
      <vt:lpstr>nr_district_staff_facility_m_s</vt:lpstr>
      <vt:lpstr>nr_district_staff_m_s</vt:lpstr>
      <vt:lpstr>nr_districts_district_m_s</vt:lpstr>
      <vt:lpstr>nr_districts_facility_m_s</vt:lpstr>
      <vt:lpstr>nr_districts_to_be_trained</vt:lpstr>
      <vt:lpstr>nr_districts_tot_r</vt:lpstr>
      <vt:lpstr>nr_faciliators_hotel_tot_c</vt:lpstr>
      <vt:lpstr>nr_faciliators_hotel_tot_c_refresher</vt:lpstr>
      <vt:lpstr>nr_faciliators_hotel_tot_r</vt:lpstr>
      <vt:lpstr>nr_faciliators_tot_c</vt:lpstr>
      <vt:lpstr>nr_faciliators_tot_c_refresher</vt:lpstr>
      <vt:lpstr>nr_faciliators_tot_r</vt:lpstr>
      <vt:lpstr>nr_facilities_m_s</vt:lpstr>
      <vt:lpstr>nr_facilities_per_district</vt:lpstr>
      <vt:lpstr>nr_hcw_per_session</vt:lpstr>
      <vt:lpstr>nr_hcw_transport_reimbursed_onsite</vt:lpstr>
      <vt:lpstr>nr_in_brief_meetings</vt:lpstr>
      <vt:lpstr>nr_inception_meetings</vt:lpstr>
      <vt:lpstr>nr_int_faciliators_tot_c</vt:lpstr>
      <vt:lpstr>nr_int_faciliators_tot_c_refresher</vt:lpstr>
      <vt:lpstr>nr_moh_trainers_hotel_onsite</vt:lpstr>
      <vt:lpstr>nr_moh_trainers_onsite</vt:lpstr>
      <vt:lpstr>nr_nat_staff_district_m_s</vt:lpstr>
      <vt:lpstr>nr_nat_staff_regional_m_s</vt:lpstr>
      <vt:lpstr>nr_participants_hotel_tot_c</vt:lpstr>
      <vt:lpstr>nr_participants_hotel_tot_c_refresher</vt:lpstr>
      <vt:lpstr>nr_participants_hotel_tot_r</vt:lpstr>
      <vt:lpstr>nr_participants_inception_meeting</vt:lpstr>
      <vt:lpstr>nr_participants_per_diem_tot_c</vt:lpstr>
      <vt:lpstr>nr_participants_per_diem_tot_c_refresher</vt:lpstr>
      <vt:lpstr>nr_participants_per_diem_tot_r</vt:lpstr>
      <vt:lpstr>nr_participants_per_in_brief_meeting</vt:lpstr>
      <vt:lpstr>nr_participants_tot_c</vt:lpstr>
      <vt:lpstr>nr_participants_tot_c_refresher</vt:lpstr>
      <vt:lpstr>nr_participants_tot_r</vt:lpstr>
      <vt:lpstr>nr_participants_workshop_draft</vt:lpstr>
      <vt:lpstr>nr_participants_workshop_finalize</vt:lpstr>
      <vt:lpstr>nr_participants_workshop_validate</vt:lpstr>
      <vt:lpstr>nr_regions_m_s</vt:lpstr>
      <vt:lpstr>nr_sessions_per_year_onsite</vt:lpstr>
      <vt:lpstr>nr_sessions_py_tot_c</vt:lpstr>
      <vt:lpstr>nr_sessions_tot_c_refresher</vt:lpstr>
      <vt:lpstr>nr_sessions_tot_r</vt:lpstr>
      <vt:lpstr>nr_staff_air_trans_district_m_s</vt:lpstr>
      <vt:lpstr>nr_staff_air_trans_regional_m_s</vt:lpstr>
      <vt:lpstr>nr_staff_hotel_district_m_s</vt:lpstr>
      <vt:lpstr>nr_staff_hotel_facility_m_s</vt:lpstr>
      <vt:lpstr>nr_staff_hotel_regional_m_s</vt:lpstr>
      <vt:lpstr>nr_supp_staff_district_m_s</vt:lpstr>
      <vt:lpstr>nr_supp_staff_facility_m_s</vt:lpstr>
      <vt:lpstr>nr_supp_staff_regional_m_s</vt:lpstr>
      <vt:lpstr>nr_trainees_per_region_tot_r</vt:lpstr>
      <vt:lpstr>nr_trainers_air_travel</vt:lpstr>
      <vt:lpstr>nr_training_materials_onsite</vt:lpstr>
      <vt:lpstr>nr_training_materials_tot_c</vt:lpstr>
      <vt:lpstr>nr_training_materials_tot_c_refresher</vt:lpstr>
      <vt:lpstr>nr_training_materials_tot_r</vt:lpstr>
      <vt:lpstr>nr_visits_district_m_s</vt:lpstr>
      <vt:lpstr>nr_visits_facility_m_s</vt:lpstr>
      <vt:lpstr>nr_visits_regional_m_s</vt:lpstr>
      <vt:lpstr>Number_of_Facilities</vt:lpstr>
      <vt:lpstr>number_regions</vt:lpstr>
      <vt:lpstr>onsite_training_venue_needed</vt:lpstr>
      <vt:lpstr>per_diem_district</vt:lpstr>
      <vt:lpstr>per_diem_facilitators_central_ToT</vt:lpstr>
      <vt:lpstr>per_diem_facilitators_regional_ToT</vt:lpstr>
      <vt:lpstr>per_diem_facility</vt:lpstr>
      <vt:lpstr>per_diem_facility_staff_onsite_training</vt:lpstr>
      <vt:lpstr>per_diem_int_facilitator_central_ToT</vt:lpstr>
      <vt:lpstr>per_diem_MoH_other</vt:lpstr>
      <vt:lpstr>per_diem_MoH_staff_ms_v</vt:lpstr>
      <vt:lpstr>per_diem_MoH_trainers_onsite_training</vt:lpstr>
      <vt:lpstr>per_diem_national</vt:lpstr>
      <vt:lpstr>per_diem_participant_staff</vt:lpstr>
      <vt:lpstr>per_diem_participants_central_ToT</vt:lpstr>
      <vt:lpstr>per_diem_participants_regional_ToT</vt:lpstr>
      <vt:lpstr>per_diem_pediatric_TB_committee</vt:lpstr>
      <vt:lpstr>per_diem_regional</vt:lpstr>
      <vt:lpstr>prop_paed_TB_district</vt:lpstr>
      <vt:lpstr>prop_paed_TB_facility</vt:lpstr>
      <vt:lpstr>prop_paediatric_TB</vt:lpstr>
      <vt:lpstr>refreshments_mentorship</vt:lpstr>
      <vt:lpstr>refreshments_training_materials</vt:lpstr>
      <vt:lpstr>room_rental_central_ToT</vt:lpstr>
      <vt:lpstr>room_rental_mentorship</vt:lpstr>
      <vt:lpstr>room_rental_onsite_training</vt:lpstr>
      <vt:lpstr>room_rental_regional_ToT</vt:lpstr>
      <vt:lpstr>room_rental_training_materials</vt:lpstr>
      <vt:lpstr>snacks_central_ToT</vt:lpstr>
      <vt:lpstr>snacks_onsite_training</vt:lpstr>
      <vt:lpstr>start_year</vt:lpstr>
      <vt:lpstr>stationary_central_ToT</vt:lpstr>
      <vt:lpstr>stationary_mentorship</vt:lpstr>
      <vt:lpstr>stationary_onsite_training</vt:lpstr>
      <vt:lpstr>stationary_regional_ToT</vt:lpstr>
      <vt:lpstr>supervision_fees</vt:lpstr>
      <vt:lpstr>training_material_central_ToT</vt:lpstr>
      <vt:lpstr>transport_facilitator_central_ToT</vt:lpstr>
      <vt:lpstr>transport_facilitator_regional_ToT</vt:lpstr>
      <vt:lpstr>transport_facility_staff_onsite_training</vt:lpstr>
      <vt:lpstr>transport_mentorship_district</vt:lpstr>
      <vt:lpstr>transport_mentorship_facility</vt:lpstr>
      <vt:lpstr>transport_mentorship_regional</vt:lpstr>
      <vt:lpstr>transport_MoH_trainers_onsite_training</vt:lpstr>
      <vt:lpstr>transport_participant_central_ToT</vt:lpstr>
      <vt:lpstr>transport_participant_regional_ToT</vt:lpstr>
      <vt:lpstr>transport_training_materials</vt:lpstr>
      <vt:lpstr>workshop_package_central_ToT</vt:lpstr>
      <vt:lpstr>workshop_package_materials</vt:lpstr>
      <vt:lpstr>workshop_package_onsite_training</vt:lpstr>
      <vt:lpstr>workshop_package_regional_ToT</vt:lpstr>
    </vt:vector>
  </TitlesOfParts>
  <Company>The University of Sheffield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Nyashadzaishe Mafirakureva</dc:creator>
  <cp:lastModifiedBy>Martina Casenghi</cp:lastModifiedBy>
  <dcterms:created xsi:type="dcterms:W3CDTF">2019-11-15T12:30:13Z</dcterms:created>
  <dcterms:modified xsi:type="dcterms:W3CDTF">2020-03-02T16:33:31Z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0x010100E3C0843509C8034EB4BF3F7FA83570E6</vt:lpwstr>
  </property>
  <property fmtid="{D5CDD505-2E9C-101B-9397-08002B2CF9AE}" pid="3" name="paediatric_TB" linkTarget="prop_paediatric_TB">
    <vt:r8>0.1</vt:r8>
  </property>
  <property fmtid="{D5CDD505-2E9C-101B-9397-08002B2CF9AE}" pid="4" name="paed_TB_district" linkTarget="prop_paed_TB_district">
    <vt:r8>0.1</vt:r8>
  </property>
  <property fmtid="{D5CDD505-2E9C-101B-9397-08002B2CF9AE}" pid="5" name="paed_TB_facility" linkTarget="prop_paed_TB_facility">
    <vt:r8>0.1</vt:r8>
  </property>
  <property fmtid="{D5CDD505-2E9C-101B-9397-08002B2CF9AE}" pid="6" name="paediatric_TB_" linkTarget="prop_paediatric_TB_">
    <vt:r8>0</vt:r8>
  </property>
</Properties>
</file>